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theme/themeOverride7.xml" ContentType="application/vnd.openxmlformats-officedocument.themeOverrid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Phase I Docs\LCoE\OE 40\"/>
    </mc:Choice>
  </mc:AlternateContent>
  <bookViews>
    <workbookView xWindow="0" yWindow="0" windowWidth="28800" windowHeight="12710" tabRatio="858"/>
  </bookViews>
  <sheets>
    <sheet name="About" sheetId="25" r:id="rId1"/>
    <sheet name="DoE Summary" sheetId="36" r:id="rId2"/>
    <sheet name="DoE CBS" sheetId="35" r:id="rId3"/>
    <sheet name="Report Tables" sheetId="26" r:id="rId4"/>
    <sheet name="Report Graphs" sheetId="33" r:id="rId5"/>
    <sheet name="Performance &amp; Economics" sheetId="31" r:id="rId6"/>
    <sheet name="CBS (CoE)" sheetId="23" r:id="rId7"/>
    <sheet name="CBS ($ per kW)" sheetId="22" r:id="rId8"/>
    <sheet name="CBS (Total)" sheetId="1" r:id="rId9"/>
    <sheet name="1.1" sheetId="2" r:id="rId10"/>
    <sheet name="1.2" sheetId="3" r:id="rId11"/>
    <sheet name="1.3" sheetId="5" r:id="rId12"/>
    <sheet name="1.4" sheetId="4" r:id="rId13"/>
    <sheet name="1.5" sheetId="18" r:id="rId14"/>
    <sheet name="1.6" sheetId="7" r:id="rId15"/>
    <sheet name="1.7" sheetId="8" r:id="rId16"/>
    <sheet name="1.8" sheetId="27" r:id="rId17"/>
    <sheet name="1.9" sheetId="28" r:id="rId18"/>
    <sheet name="2.1" sheetId="11" r:id="rId19"/>
    <sheet name="2.2" sheetId="12" r:id="rId20"/>
    <sheet name="2.3" sheetId="13" r:id="rId21"/>
    <sheet name="2.4" sheetId="14" r:id="rId22"/>
    <sheet name="2.5" sheetId="15" r:id="rId23"/>
    <sheet name="2.6" sheetId="16" r:id="rId24"/>
  </sheets>
  <externalReferences>
    <externalReference r:id="rId25"/>
    <externalReference r:id="rId26"/>
    <externalReference r:id="rId27"/>
    <externalReference r:id="rId28"/>
    <externalReference r:id="rId29"/>
    <externalReference r:id="rId30"/>
  </externalReferences>
  <definedNames>
    <definedName name="_xlnm._FilterDatabase" localSheetId="2" hidden="1">'DoE CBS'!#REF!</definedName>
    <definedName name="AnnArrayOMCost" localSheetId="2">#REF!</definedName>
    <definedName name="AnnArrayOMCost" localSheetId="1">#REF!</definedName>
    <definedName name="AnnArrayOMCost">#REF!</definedName>
    <definedName name="AnnArrayOutput" localSheetId="2">#REF!</definedName>
    <definedName name="AnnArrayOutput" localSheetId="1">#REF!</definedName>
    <definedName name="AnnArrayOutput">#REF!</definedName>
    <definedName name="ArrayInstalledCost" localSheetId="2">#REF!</definedName>
    <definedName name="ArrayInstalledCost" localSheetId="1">#REF!</definedName>
    <definedName name="ArrayInstalledCost">#REF!</definedName>
    <definedName name="Avail" localSheetId="2">[1]Master!$K$6</definedName>
    <definedName name="Avail">[2]Master!$K$6</definedName>
    <definedName name="Availability" localSheetId="2">#REF!</definedName>
    <definedName name="Availability" localSheetId="1">#REF!</definedName>
    <definedName name="Availability">#REF!</definedName>
    <definedName name="AvgCurrentSpeedSurface" localSheetId="2">#REF!</definedName>
    <definedName name="AvgCurrentSpeedSurface" localSheetId="1">#REF!</definedName>
    <definedName name="AvgCurrentSpeedSurface">#REF!</definedName>
    <definedName name="AvgPowerFluxSurface" localSheetId="2">#REF!</definedName>
    <definedName name="AvgPowerFluxSurface" localSheetId="1">#REF!</definedName>
    <definedName name="AvgPowerFluxSurface">#REF!</definedName>
    <definedName name="AvgProgRatio" localSheetId="2">#REF!</definedName>
    <definedName name="AvgProgRatio" localSheetId="1">#REF!</definedName>
    <definedName name="AvgProgRatio">#REF!</definedName>
    <definedName name="CableLen" localSheetId="2">[1]Master!$K$11</definedName>
    <definedName name="CableLen">[2]Master!$K$11</definedName>
    <definedName name="Capex" localSheetId="2">#REF!</definedName>
    <definedName name="Capex" localSheetId="1">#REF!</definedName>
    <definedName name="Capex">#REF!</definedName>
    <definedName name="CapFactor" localSheetId="2">#REF!</definedName>
    <definedName name="CapFactor" localSheetId="1">#REF!</definedName>
    <definedName name="CapFactor">#REF!</definedName>
    <definedName name="Clearance" localSheetId="2">#REF!</definedName>
    <definedName name="Clearance" localSheetId="1">#REF!</definedName>
    <definedName name="Clearance">#REF!</definedName>
    <definedName name="COEReal" localSheetId="2">#REF!</definedName>
    <definedName name="COEReal" localSheetId="1">#REF!</definedName>
    <definedName name="COEReal">#REF!</definedName>
    <definedName name="CRF" localSheetId="2">#REF!</definedName>
    <definedName name="CRF" localSheetId="1">#REF!</definedName>
    <definedName name="CRF">#REF!</definedName>
    <definedName name="CurrentSenario" localSheetId="2">#REF!</definedName>
    <definedName name="CurrentSenario" localSheetId="1">#REF!</definedName>
    <definedName name="CurrentSenario">#REF!</definedName>
    <definedName name="CutinSpeed" localSheetId="2">[1]Master!$E$12</definedName>
    <definedName name="CutinSpeed">[2]Master!$E$12</definedName>
    <definedName name="DeviceOrientation" localSheetId="2">#REF!</definedName>
    <definedName name="DeviceOrientation" localSheetId="1">#REF!</definedName>
    <definedName name="DeviceOrientation">#REF!</definedName>
    <definedName name="DuctClearance" localSheetId="2">#REF!</definedName>
    <definedName name="DuctClearance" localSheetId="1">#REF!</definedName>
    <definedName name="DuctClearance">#REF!</definedName>
    <definedName name="fg" localSheetId="1">#REF!</definedName>
    <definedName name="fg">#REF!</definedName>
    <definedName name="Grid" localSheetId="2">#REF!</definedName>
    <definedName name="Grid" localSheetId="1">#REF!</definedName>
    <definedName name="Grid">#REF!</definedName>
    <definedName name="hh" localSheetId="1">#REF!</definedName>
    <definedName name="hh">#REF!</definedName>
    <definedName name="HubHeight" localSheetId="2">[1]Master!$E$10</definedName>
    <definedName name="HubHeight">[2]Master!$E$10</definedName>
    <definedName name="IRR" localSheetId="2">#REF!</definedName>
    <definedName name="IRR" localSheetId="1">#REF!</definedName>
    <definedName name="IRR">#REF!</definedName>
    <definedName name="JnctBox" localSheetId="2">[1]Master!$K$13</definedName>
    <definedName name="JnctBox">[2]Master!$K$13</definedName>
    <definedName name="MonoSep" localSheetId="2">[1]Master!$K$4</definedName>
    <definedName name="MonoSep">[2]Master!$K$4</definedName>
    <definedName name="nomdisc" localSheetId="2">#REF!</definedName>
    <definedName name="nomdisc" localSheetId="1">#REF!</definedName>
    <definedName name="nomdisc">#REF!</definedName>
    <definedName name="Nominal_CR" localSheetId="2">[1]Master!$T$5</definedName>
    <definedName name="Nominal_CR">[2]Master!$T$5</definedName>
    <definedName name="NumTurbines" localSheetId="2">#REF!</definedName>
    <definedName name="NumTurbines" localSheetId="1">#REF!</definedName>
    <definedName name="NumTurbines">#REF!</definedName>
    <definedName name="ProgRatio" localSheetId="2">#REF!</definedName>
    <definedName name="ProgRatio" localSheetId="1">#REF!</definedName>
    <definedName name="ProgRatio">#REF!</definedName>
    <definedName name="RatedSpeed" localSheetId="2">#REF!</definedName>
    <definedName name="RatedSpeed" localSheetId="1">#REF!</definedName>
    <definedName name="RatedSpeed">#REF!</definedName>
    <definedName name="Real_CR" localSheetId="2">[1]Master!$T$4</definedName>
    <definedName name="Real_CR">[2]Master!$T$4</definedName>
    <definedName name="realdisc" localSheetId="2">#REF!</definedName>
    <definedName name="realdisc" localSheetId="1">#REF!</definedName>
    <definedName name="realdisc">#REF!</definedName>
    <definedName name="RefCurrency" localSheetId="2">#REF!</definedName>
    <definedName name="RefCurrency" localSheetId="1">#REF!</definedName>
    <definedName name="RefCurrency">#REF!</definedName>
    <definedName name="RefYear" localSheetId="2">#REF!</definedName>
    <definedName name="RefYear" localSheetId="1">#REF!</definedName>
    <definedName name="RefYear">#REF!</definedName>
    <definedName name="rho" localSheetId="2">[3]Master!$B$2</definedName>
    <definedName name="rho">[4]Master!$B$2</definedName>
    <definedName name="RotorD" localSheetId="2">#REF!</definedName>
    <definedName name="RotorD" localSheetId="1">#REF!</definedName>
    <definedName name="RotorD">#REF!</definedName>
    <definedName name="RotorEff" localSheetId="2">[1]Master!$E$11</definedName>
    <definedName name="RotorEff">[2]Master!$E$11</definedName>
    <definedName name="S1_ValueName1" localSheetId="2">#REF!</definedName>
    <definedName name="S1_ValueName1" localSheetId="1">#REF!</definedName>
    <definedName name="S1_ValueName1">#REF!</definedName>
    <definedName name="Senarios" localSheetId="2">#REF!</definedName>
    <definedName name="Senarios" localSheetId="1">#REF!</definedName>
    <definedName name="Senarios">#REF!</definedName>
    <definedName name="ShoreProtect" localSheetId="2">#REF!</definedName>
    <definedName name="ShoreProtect" localSheetId="1">#REF!</definedName>
    <definedName name="ShoreProtect">#REF!</definedName>
    <definedName name="Site_Selection" localSheetId="2">[5]Inputs!$E$10</definedName>
    <definedName name="Site_Selection">[6]Inputs!$E$10</definedName>
    <definedName name="Site_Spectral_Parameter" localSheetId="2">[5]Inputs!$E$11</definedName>
    <definedName name="Site_Spectral_Parameter">[6]Inputs!$E$11</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hs1" localSheetId="5" hidden="1">'Performance &amp; Economics'!#REF!</definedName>
    <definedName name="solver_lhs2" localSheetId="5" hidden="1">'Performance &amp; Economics'!#REF!</definedName>
    <definedName name="solver_lin" localSheetId="5" hidden="1">2</definedName>
    <definedName name="solver_neg" localSheetId="5" hidden="1">2</definedName>
    <definedName name="solver_num" localSheetId="5" hidden="1">0</definedName>
    <definedName name="solver_nwt" localSheetId="5" hidden="1">1</definedName>
    <definedName name="solver_pre" localSheetId="5" hidden="1">0.001</definedName>
    <definedName name="solver_rel1" localSheetId="5" hidden="1">1</definedName>
    <definedName name="solver_rel2" localSheetId="5" hidden="1">3</definedName>
    <definedName name="solver_rhs1" localSheetId="5" hidden="1">360</definedName>
    <definedName name="solver_rhs2" localSheetId="5" hidden="1">0</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VTable1" localSheetId="2">#REF!</definedName>
    <definedName name="SVTable1" localSheetId="1">#REF!</definedName>
    <definedName name="SVTable1">#REF!</definedName>
    <definedName name="TranUpgrade" localSheetId="2">#REF!</definedName>
    <definedName name="TranUpgrade" localSheetId="1">#REF!</definedName>
    <definedName name="TranUpgrade">#REF!</definedName>
    <definedName name="TrenchDist" localSheetId="2">[1]Master!$K$9</definedName>
    <definedName name="TrenchDist">[2]Master!$K$9</definedName>
    <definedName name="TurbineCapital" localSheetId="2">#REF!</definedName>
    <definedName name="TurbineCapital" localSheetId="1">#REF!</definedName>
    <definedName name="TurbineCapital">#REF!</definedName>
    <definedName name="VelFactor" localSheetId="2">#REF!</definedName>
    <definedName name="VelFactor" localSheetId="1">#REF!</definedName>
    <definedName name="VelFactor">#REF!</definedName>
    <definedName name="WaterDepth" localSheetId="2">#REF!</definedName>
    <definedName name="WaterDepth" localSheetId="1">#REF!</definedName>
    <definedName name="WaterDepth">#REF!</definedName>
  </definedNames>
  <calcPr calcId="152511"/>
</workbook>
</file>

<file path=xl/calcChain.xml><?xml version="1.0" encoding="utf-8"?>
<calcChain xmlns="http://schemas.openxmlformats.org/spreadsheetml/2006/main">
  <c r="S13" i="31" l="1"/>
  <c r="F1" i="36"/>
  <c r="S14" i="31"/>
  <c r="S15" i="31"/>
  <c r="S16" i="31"/>
  <c r="H1" i="36"/>
  <c r="P1" i="22"/>
  <c r="P53" i="22"/>
  <c r="P54" i="22"/>
  <c r="P55" i="22"/>
  <c r="P56" i="22"/>
  <c r="D295" i="35"/>
  <c r="D305" i="35"/>
  <c r="D34" i="36"/>
  <c r="D33" i="36"/>
  <c r="D32" i="36"/>
  <c r="D30" i="36"/>
  <c r="P51" i="22"/>
  <c r="D281" i="35"/>
  <c r="D29" i="36"/>
  <c r="P52" i="22"/>
  <c r="D273" i="35"/>
  <c r="D27" i="36"/>
  <c r="P46" i="22"/>
  <c r="D261" i="35"/>
  <c r="D18" i="36"/>
  <c r="P20" i="22"/>
  <c r="D233" i="35"/>
  <c r="D16" i="36"/>
  <c r="P18" i="22"/>
  <c r="D227" i="35"/>
  <c r="D15" i="36"/>
  <c r="P38" i="22"/>
  <c r="D198" i="35"/>
  <c r="D14" i="36"/>
  <c r="D13" i="36"/>
  <c r="D12" i="36"/>
  <c r="P15" i="22"/>
  <c r="P16" i="22"/>
  <c r="P35" i="22"/>
  <c r="D101" i="35"/>
  <c r="D11" i="36"/>
  <c r="P13" i="22"/>
  <c r="D90" i="35"/>
  <c r="D10" i="36"/>
  <c r="P6" i="22"/>
  <c r="D59" i="35"/>
  <c r="D9" i="36"/>
  <c r="P29" i="22"/>
  <c r="P37" i="22"/>
  <c r="D25" i="35"/>
  <c r="D7" i="36"/>
  <c r="P26" i="22"/>
  <c r="D10" i="35"/>
  <c r="D6" i="36"/>
  <c r="D31" i="36"/>
  <c r="F31" i="36"/>
  <c r="D26" i="36"/>
  <c r="F26" i="36"/>
  <c r="F35" i="36"/>
  <c r="D17" i="36"/>
  <c r="F17" i="36"/>
  <c r="D8" i="36"/>
  <c r="F8" i="36"/>
  <c r="D5" i="36"/>
  <c r="F5" i="36"/>
  <c r="F22" i="36"/>
  <c r="F36" i="36"/>
  <c r="D35" i="36"/>
  <c r="E35" i="36"/>
  <c r="F34" i="36"/>
  <c r="E34" i="36"/>
  <c r="F33" i="36"/>
  <c r="E33" i="36"/>
  <c r="F32" i="36"/>
  <c r="E32" i="36"/>
  <c r="E31" i="36"/>
  <c r="F30" i="36"/>
  <c r="E30" i="36"/>
  <c r="F29" i="36"/>
  <c r="E29" i="36"/>
  <c r="F28" i="36"/>
  <c r="E28" i="36"/>
  <c r="F27" i="36"/>
  <c r="E27" i="36"/>
  <c r="E26" i="36"/>
  <c r="D22" i="36"/>
  <c r="F21" i="36"/>
  <c r="E21" i="36"/>
  <c r="F20" i="36"/>
  <c r="E20" i="36"/>
  <c r="F19" i="36"/>
  <c r="E19" i="36"/>
  <c r="F18" i="36"/>
  <c r="E18" i="36"/>
  <c r="E17" i="36"/>
  <c r="F16" i="36"/>
  <c r="E16" i="36"/>
  <c r="F15" i="36"/>
  <c r="E15" i="36"/>
  <c r="F14" i="36"/>
  <c r="E14" i="36"/>
  <c r="F13" i="36"/>
  <c r="E13" i="36"/>
  <c r="F12" i="36"/>
  <c r="E12" i="36"/>
  <c r="F11" i="36"/>
  <c r="E11" i="36"/>
  <c r="F10" i="36"/>
  <c r="E10" i="36"/>
  <c r="F9" i="36"/>
  <c r="E9" i="36"/>
  <c r="E8" i="36"/>
  <c r="F7" i="36"/>
  <c r="E7" i="36"/>
  <c r="F6" i="36"/>
  <c r="E6" i="36"/>
  <c r="E5" i="36"/>
  <c r="I26" i="23"/>
  <c r="I26" i="22"/>
  <c r="I24" i="1"/>
  <c r="S17" i="31"/>
  <c r="J2" i="23"/>
  <c r="P2" i="23"/>
  <c r="P58" i="23"/>
  <c r="P48" i="23"/>
  <c r="P60" i="23"/>
  <c r="N2" i="23"/>
  <c r="N58" i="23"/>
  <c r="N48" i="23"/>
  <c r="N60" i="23"/>
  <c r="L2" i="23"/>
  <c r="L58" i="23"/>
  <c r="L48" i="23"/>
  <c r="L60" i="23"/>
  <c r="J58" i="23"/>
  <c r="J48" i="23"/>
  <c r="J60" i="23"/>
  <c r="D293" i="35"/>
  <c r="D272" i="35"/>
  <c r="D271" i="35"/>
  <c r="D9" i="35"/>
  <c r="D260" i="35"/>
  <c r="D58" i="35"/>
  <c r="H4" i="7"/>
  <c r="G4" i="7"/>
  <c r="G7" i="7"/>
  <c r="F4" i="7"/>
  <c r="E4" i="7"/>
  <c r="P48" i="22"/>
  <c r="E17" i="4"/>
  <c r="E18" i="4"/>
  <c r="G14" i="4"/>
  <c r="G17" i="4"/>
  <c r="G4" i="4"/>
  <c r="H14" i="4"/>
  <c r="H17" i="4"/>
  <c r="H4" i="4"/>
  <c r="F14" i="4"/>
  <c r="F17" i="4"/>
  <c r="F4" i="4"/>
  <c r="D31" i="15"/>
  <c r="D29" i="15"/>
  <c r="D28" i="15"/>
  <c r="D27" i="15"/>
  <c r="D25" i="15"/>
  <c r="D17" i="15"/>
  <c r="D15" i="15"/>
  <c r="D14" i="15"/>
  <c r="D13" i="15"/>
  <c r="D11" i="15"/>
  <c r="P29" i="1"/>
  <c r="P30" i="1"/>
  <c r="P31" i="1"/>
  <c r="P32" i="1"/>
  <c r="P33" i="1"/>
  <c r="P34" i="1"/>
  <c r="N29" i="1"/>
  <c r="N30" i="1"/>
  <c r="N31" i="1"/>
  <c r="N32" i="1"/>
  <c r="N33" i="1"/>
  <c r="N34" i="1"/>
  <c r="L29" i="1"/>
  <c r="L30" i="1"/>
  <c r="L31" i="1"/>
  <c r="L32" i="1"/>
  <c r="L33" i="1"/>
  <c r="L34" i="1"/>
  <c r="J29" i="1"/>
  <c r="J30" i="1"/>
  <c r="J31" i="1"/>
  <c r="J32" i="1"/>
  <c r="J33" i="1"/>
  <c r="J34" i="1"/>
  <c r="J28" i="1"/>
  <c r="D34" i="1"/>
  <c r="D31" i="1"/>
  <c r="D32" i="1"/>
  <c r="D33" i="1"/>
  <c r="D30" i="1"/>
  <c r="D29" i="1"/>
  <c r="D28" i="1"/>
  <c r="G14" i="18"/>
  <c r="H14" i="18"/>
  <c r="I14" i="18"/>
  <c r="F14" i="18"/>
  <c r="G6" i="18"/>
  <c r="H6" i="18"/>
  <c r="I7" i="18"/>
  <c r="H7" i="18"/>
  <c r="G7" i="18"/>
  <c r="I6" i="18"/>
  <c r="I9" i="18"/>
  <c r="I5" i="18"/>
  <c r="I4" i="18"/>
  <c r="F6" i="18"/>
  <c r="F9" i="18"/>
  <c r="I10" i="18"/>
  <c r="H10" i="18"/>
  <c r="G10" i="18"/>
  <c r="G8" i="18"/>
  <c r="H8" i="18"/>
  <c r="I8" i="18"/>
  <c r="F8" i="18"/>
  <c r="G4" i="18"/>
  <c r="H4" i="18"/>
  <c r="H9" i="18"/>
  <c r="G5" i="18"/>
  <c r="H5" i="18"/>
  <c r="F7" i="18"/>
  <c r="F5" i="18"/>
  <c r="F4" i="18"/>
  <c r="G29" i="18"/>
  <c r="H29" i="18"/>
  <c r="I29" i="18"/>
  <c r="G30" i="18"/>
  <c r="H30" i="18"/>
  <c r="I30" i="18"/>
  <c r="G31" i="18"/>
  <c r="H31" i="18"/>
  <c r="I31" i="18"/>
  <c r="G32" i="18"/>
  <c r="H32" i="18"/>
  <c r="I32" i="18"/>
  <c r="F30" i="18"/>
  <c r="F31" i="18"/>
  <c r="F32" i="18"/>
  <c r="F29" i="18"/>
  <c r="F25" i="18"/>
  <c r="E29" i="3"/>
  <c r="D8" i="35"/>
  <c r="E24" i="4"/>
  <c r="H24" i="4"/>
  <c r="G24" i="4"/>
  <c r="E4" i="4"/>
  <c r="J25" i="1"/>
  <c r="F24" i="4"/>
  <c r="F27" i="4"/>
  <c r="F5" i="4"/>
  <c r="F18" i="4"/>
  <c r="G9" i="18"/>
  <c r="G34" i="18"/>
  <c r="F34" i="18"/>
  <c r="H34" i="18"/>
  <c r="I34" i="18"/>
  <c r="P25" i="1"/>
  <c r="G25" i="18"/>
  <c r="D10" i="16"/>
  <c r="F4" i="16"/>
  <c r="H32" i="15"/>
  <c r="H31" i="15"/>
  <c r="H29" i="15"/>
  <c r="H28" i="15"/>
  <c r="H27" i="15"/>
  <c r="H25" i="15"/>
  <c r="G25" i="15"/>
  <c r="H18" i="15"/>
  <c r="H17" i="15"/>
  <c r="H15" i="15"/>
  <c r="H14" i="15"/>
  <c r="H13" i="15"/>
  <c r="H11" i="15"/>
  <c r="D45" i="13"/>
  <c r="D62" i="13"/>
  <c r="D64" i="13"/>
  <c r="D67" i="13"/>
  <c r="E67" i="13"/>
  <c r="F67" i="13"/>
  <c r="G67" i="13"/>
  <c r="D51" i="13"/>
  <c r="D54" i="13"/>
  <c r="D33" i="13"/>
  <c r="D36" i="13"/>
  <c r="F68" i="13"/>
  <c r="D26" i="13"/>
  <c r="D68" i="13"/>
  <c r="D17" i="13"/>
  <c r="D55" i="13"/>
  <c r="E63" i="3"/>
  <c r="C18" i="14"/>
  <c r="C19" i="14"/>
  <c r="C21" i="14"/>
  <c r="M15" i="14"/>
  <c r="Q13" i="14"/>
  <c r="R13" i="14"/>
  <c r="N13" i="14"/>
  <c r="O13" i="14"/>
  <c r="P13" i="14"/>
  <c r="Q12" i="14"/>
  <c r="R12" i="14"/>
  <c r="N12" i="14"/>
  <c r="O12" i="14"/>
  <c r="P12" i="14"/>
  <c r="N11" i="14"/>
  <c r="O11" i="14"/>
  <c r="P11" i="14"/>
  <c r="Q11" i="14"/>
  <c r="R11" i="14"/>
  <c r="N10" i="14"/>
  <c r="O10" i="14"/>
  <c r="G29" i="15"/>
  <c r="G17" i="15"/>
  <c r="G28" i="15"/>
  <c r="E4" i="16"/>
  <c r="H4" i="16"/>
  <c r="R15" i="14"/>
  <c r="E4" i="14"/>
  <c r="G4" i="16"/>
  <c r="G27" i="15"/>
  <c r="G31" i="15"/>
  <c r="H34" i="15"/>
  <c r="G15" i="15"/>
  <c r="G14" i="15"/>
  <c r="G13" i="15"/>
  <c r="G11" i="15"/>
  <c r="H20" i="15"/>
  <c r="D69" i="13"/>
  <c r="F55" i="13"/>
  <c r="E55" i="13"/>
  <c r="D56" i="13"/>
  <c r="G54" i="13"/>
  <c r="E54" i="13"/>
  <c r="F54" i="13"/>
  <c r="E68" i="13"/>
  <c r="O15" i="14"/>
  <c r="H4" i="14"/>
  <c r="P10" i="14"/>
  <c r="E56" i="13"/>
  <c r="D71" i="13"/>
  <c r="F5" i="13"/>
  <c r="G55" i="13"/>
  <c r="G56" i="13"/>
  <c r="F56" i="13"/>
  <c r="E69" i="13"/>
  <c r="P15" i="14"/>
  <c r="G4" i="14"/>
  <c r="Q10" i="14"/>
  <c r="Q15" i="14"/>
  <c r="F4" i="14"/>
  <c r="E71" i="13"/>
  <c r="G5" i="13"/>
  <c r="F69" i="13"/>
  <c r="F71" i="13"/>
  <c r="H5" i="13"/>
  <c r="G68" i="13"/>
  <c r="G69" i="13"/>
  <c r="G71" i="13"/>
  <c r="I5" i="13"/>
  <c r="E65" i="3"/>
  <c r="D65" i="3"/>
  <c r="F63" i="3"/>
  <c r="F65" i="3"/>
  <c r="P23" i="1"/>
  <c r="N23" i="1"/>
  <c r="L23" i="1"/>
  <c r="J23" i="1"/>
  <c r="D22" i="1"/>
  <c r="D23" i="1"/>
  <c r="D21" i="1"/>
  <c r="E6" i="5"/>
  <c r="J21" i="1"/>
  <c r="E34" i="5"/>
  <c r="H96" i="8"/>
  <c r="K96" i="8"/>
  <c r="N96" i="8"/>
  <c r="P94" i="8"/>
  <c r="P93" i="8"/>
  <c r="P96" i="8"/>
  <c r="I9" i="8"/>
  <c r="M94" i="8"/>
  <c r="M93" i="8"/>
  <c r="J94" i="8"/>
  <c r="J93" i="8"/>
  <c r="J92" i="8"/>
  <c r="G93" i="8"/>
  <c r="E94" i="8"/>
  <c r="E96" i="8"/>
  <c r="F94" i="8"/>
  <c r="G94" i="8"/>
  <c r="N75" i="8"/>
  <c r="P75" i="8"/>
  <c r="P77" i="8"/>
  <c r="P73" i="8"/>
  <c r="P72" i="8"/>
  <c r="P71" i="8"/>
  <c r="K74" i="8"/>
  <c r="M74" i="8"/>
  <c r="M77" i="8"/>
  <c r="M75" i="8"/>
  <c r="M73" i="8"/>
  <c r="M72" i="8"/>
  <c r="M71" i="8"/>
  <c r="E77" i="8"/>
  <c r="G77" i="8"/>
  <c r="G71" i="8"/>
  <c r="I71" i="8"/>
  <c r="J71" i="8"/>
  <c r="G75" i="8"/>
  <c r="G74" i="8"/>
  <c r="G73" i="8"/>
  <c r="G72" i="8"/>
  <c r="I77" i="8"/>
  <c r="J77" i="8"/>
  <c r="I75" i="8"/>
  <c r="J75" i="8"/>
  <c r="I74" i="8"/>
  <c r="J74" i="8"/>
  <c r="I73" i="8"/>
  <c r="J73" i="8"/>
  <c r="I72" i="8"/>
  <c r="J72" i="8"/>
  <c r="H79" i="8"/>
  <c r="M47" i="8"/>
  <c r="P47" i="8"/>
  <c r="O45" i="8"/>
  <c r="K49" i="8"/>
  <c r="N49" i="8"/>
  <c r="P49" i="8"/>
  <c r="K50" i="8"/>
  <c r="M50" i="8"/>
  <c r="K48" i="8"/>
  <c r="M48" i="8"/>
  <c r="L45" i="8"/>
  <c r="H52" i="8"/>
  <c r="J49" i="8"/>
  <c r="J50" i="8"/>
  <c r="J48" i="8"/>
  <c r="I45" i="8"/>
  <c r="J96" i="8"/>
  <c r="M96" i="8"/>
  <c r="H9" i="8"/>
  <c r="G96" i="8"/>
  <c r="K79" i="8"/>
  <c r="G63" i="3"/>
  <c r="G65" i="3"/>
  <c r="H104" i="8"/>
  <c r="I104" i="8"/>
  <c r="M49" i="8"/>
  <c r="N74" i="8"/>
  <c r="N79" i="8"/>
  <c r="K52" i="8"/>
  <c r="J52" i="8"/>
  <c r="G7" i="8"/>
  <c r="E79" i="8"/>
  <c r="P74" i="8"/>
  <c r="P79" i="8"/>
  <c r="I8" i="8"/>
  <c r="M79" i="8"/>
  <c r="H8" i="8"/>
  <c r="J79" i="8"/>
  <c r="G8" i="8"/>
  <c r="M52" i="8"/>
  <c r="H7" i="8"/>
  <c r="G79" i="8"/>
  <c r="F8" i="8"/>
  <c r="N48" i="8"/>
  <c r="N50" i="8"/>
  <c r="P50" i="8"/>
  <c r="P48" i="8"/>
  <c r="P52" i="8"/>
  <c r="I7" i="8"/>
  <c r="F9" i="8"/>
  <c r="F104" i="8"/>
  <c r="G9" i="8"/>
  <c r="G104" i="8"/>
  <c r="N52" i="8"/>
  <c r="E52" i="8"/>
  <c r="G49" i="8"/>
  <c r="G50" i="8"/>
  <c r="G48" i="8"/>
  <c r="G52" i="8"/>
  <c r="F7" i="8"/>
  <c r="F45" i="8"/>
  <c r="H34" i="8"/>
  <c r="H6" i="8"/>
  <c r="G6" i="8"/>
  <c r="F6" i="8"/>
  <c r="I6" i="8"/>
  <c r="F20" i="8"/>
  <c r="I17" i="8"/>
  <c r="I20" i="8"/>
  <c r="H17" i="8"/>
  <c r="H20" i="8"/>
  <c r="G17" i="8"/>
  <c r="G20" i="8"/>
  <c r="E44" i="5"/>
  <c r="E7" i="5"/>
  <c r="J22" i="1"/>
  <c r="E27" i="5"/>
  <c r="E5" i="5"/>
  <c r="E20" i="5"/>
  <c r="E4" i="5"/>
  <c r="F32" i="5"/>
  <c r="F6" i="5"/>
  <c r="L21" i="1"/>
  <c r="F17" i="5"/>
  <c r="G17" i="5"/>
  <c r="H17" i="5"/>
  <c r="F18" i="5"/>
  <c r="G18" i="5"/>
  <c r="H18" i="5"/>
  <c r="F39" i="5"/>
  <c r="G39" i="5"/>
  <c r="H39" i="5"/>
  <c r="F40" i="5"/>
  <c r="G40" i="5"/>
  <c r="H40" i="5"/>
  <c r="F41" i="5"/>
  <c r="G41" i="5"/>
  <c r="H41" i="5"/>
  <c r="F42" i="5"/>
  <c r="G42" i="5"/>
  <c r="H42" i="5"/>
  <c r="F25" i="5"/>
  <c r="G25" i="5"/>
  <c r="H25" i="5"/>
  <c r="H27" i="5"/>
  <c r="F16" i="5"/>
  <c r="G16" i="5"/>
  <c r="H16" i="5"/>
  <c r="G32" i="5"/>
  <c r="F34" i="5"/>
  <c r="H44" i="5"/>
  <c r="H7" i="5"/>
  <c r="P22" i="1"/>
  <c r="G20" i="5"/>
  <c r="F20" i="5"/>
  <c r="F44" i="5"/>
  <c r="F7" i="5"/>
  <c r="L22" i="1"/>
  <c r="G27" i="5"/>
  <c r="F27" i="5"/>
  <c r="G44" i="5"/>
  <c r="G7" i="5"/>
  <c r="N22" i="1"/>
  <c r="H32" i="5"/>
  <c r="H6" i="5"/>
  <c r="P21" i="1"/>
  <c r="E28" i="3"/>
  <c r="E37" i="3"/>
  <c r="F28" i="3"/>
  <c r="F29" i="3"/>
  <c r="F37" i="3"/>
  <c r="G28" i="3"/>
  <c r="G29" i="3"/>
  <c r="G37" i="3"/>
  <c r="D28" i="3"/>
  <c r="D29" i="3"/>
  <c r="D37" i="3"/>
  <c r="G24" i="3"/>
  <c r="G25" i="3"/>
  <c r="G36" i="3"/>
  <c r="F24" i="3"/>
  <c r="F25" i="3"/>
  <c r="F36" i="3"/>
  <c r="D25" i="3"/>
  <c r="D36" i="3"/>
  <c r="E25" i="3"/>
  <c r="E36" i="3"/>
  <c r="E19" i="3"/>
  <c r="E20" i="3"/>
  <c r="F19" i="3"/>
  <c r="F20" i="3"/>
  <c r="G19" i="3"/>
  <c r="G20" i="3"/>
  <c r="D19" i="3"/>
  <c r="D20" i="3"/>
  <c r="G34" i="5"/>
  <c r="G6" i="5"/>
  <c r="N21" i="1"/>
  <c r="H20" i="5"/>
  <c r="H34" i="5"/>
  <c r="G39" i="3"/>
  <c r="E39" i="3"/>
  <c r="D39" i="3"/>
  <c r="F39" i="3"/>
  <c r="H4" i="3"/>
  <c r="G45" i="3"/>
  <c r="G47" i="3"/>
  <c r="F45" i="3"/>
  <c r="F47" i="3"/>
  <c r="G4" i="3"/>
  <c r="E45" i="3"/>
  <c r="E47" i="3"/>
  <c r="F4" i="3"/>
  <c r="E4" i="3"/>
  <c r="D45" i="3"/>
  <c r="D47" i="3"/>
  <c r="H28" i="2"/>
  <c r="H30" i="2"/>
  <c r="H27" i="2"/>
  <c r="P17" i="1"/>
  <c r="N17" i="1"/>
  <c r="L17" i="1"/>
  <c r="J17" i="1"/>
  <c r="F49" i="31"/>
  <c r="G49" i="31"/>
  <c r="H49" i="31"/>
  <c r="I49" i="31"/>
  <c r="J49" i="31"/>
  <c r="K49" i="31"/>
  <c r="L49" i="31"/>
  <c r="M49" i="31"/>
  <c r="N49" i="31"/>
  <c r="O49" i="31"/>
  <c r="P49" i="31"/>
  <c r="Q49" i="31"/>
  <c r="R49" i="31"/>
  <c r="S49" i="31"/>
  <c r="T49" i="31"/>
  <c r="F50" i="31"/>
  <c r="G50" i="31"/>
  <c r="H50" i="31"/>
  <c r="I50" i="31"/>
  <c r="J50" i="31"/>
  <c r="K50" i="31"/>
  <c r="L50" i="31"/>
  <c r="M50" i="31"/>
  <c r="N50" i="31"/>
  <c r="O50" i="31"/>
  <c r="P50" i="31"/>
  <c r="Q50" i="31"/>
  <c r="R50" i="31"/>
  <c r="S50" i="31"/>
  <c r="T50" i="31"/>
  <c r="F51" i="31"/>
  <c r="G51" i="31"/>
  <c r="H51" i="31"/>
  <c r="I51" i="31"/>
  <c r="J51" i="31"/>
  <c r="K51" i="31"/>
  <c r="L51" i="31"/>
  <c r="M51" i="31"/>
  <c r="N51" i="31"/>
  <c r="O51" i="31"/>
  <c r="P51" i="31"/>
  <c r="Q51" i="31"/>
  <c r="R51" i="31"/>
  <c r="S51" i="31"/>
  <c r="T51" i="31"/>
  <c r="F52" i="31"/>
  <c r="G52" i="31"/>
  <c r="H52" i="31"/>
  <c r="I52" i="31"/>
  <c r="J52" i="31"/>
  <c r="K52" i="31"/>
  <c r="L52" i="31"/>
  <c r="M52" i="31"/>
  <c r="N52" i="31"/>
  <c r="O52" i="31"/>
  <c r="P52" i="31"/>
  <c r="Q52" i="31"/>
  <c r="R52" i="31"/>
  <c r="S52" i="31"/>
  <c r="T52" i="31"/>
  <c r="F53" i="31"/>
  <c r="G53" i="31"/>
  <c r="H53" i="31"/>
  <c r="I53" i="31"/>
  <c r="J53" i="31"/>
  <c r="K53" i="31"/>
  <c r="L53" i="31"/>
  <c r="M53" i="31"/>
  <c r="N53" i="31"/>
  <c r="O53" i="31"/>
  <c r="P53" i="31"/>
  <c r="Q53" i="31"/>
  <c r="R53" i="31"/>
  <c r="S53" i="31"/>
  <c r="T53" i="31"/>
  <c r="F54" i="31"/>
  <c r="G54" i="31"/>
  <c r="H54" i="31"/>
  <c r="I54" i="31"/>
  <c r="J54" i="31"/>
  <c r="K54" i="31"/>
  <c r="L54" i="31"/>
  <c r="M54" i="31"/>
  <c r="N54" i="31"/>
  <c r="O54" i="31"/>
  <c r="P54" i="31"/>
  <c r="Q54" i="31"/>
  <c r="R54" i="31"/>
  <c r="S54" i="31"/>
  <c r="T54" i="31"/>
  <c r="F55" i="31"/>
  <c r="G55" i="31"/>
  <c r="H55" i="31"/>
  <c r="I55" i="31"/>
  <c r="J55" i="31"/>
  <c r="K55" i="31"/>
  <c r="L55" i="31"/>
  <c r="M55" i="31"/>
  <c r="N55" i="31"/>
  <c r="O55" i="31"/>
  <c r="P55" i="31"/>
  <c r="Q55" i="31"/>
  <c r="R55" i="31"/>
  <c r="S55" i="31"/>
  <c r="T55" i="31"/>
  <c r="F56" i="31"/>
  <c r="G56" i="31"/>
  <c r="H56" i="31"/>
  <c r="I56" i="31"/>
  <c r="J56" i="31"/>
  <c r="K56" i="31"/>
  <c r="L56" i="31"/>
  <c r="M56" i="31"/>
  <c r="N56" i="31"/>
  <c r="O56" i="31"/>
  <c r="P56" i="31"/>
  <c r="Q56" i="31"/>
  <c r="R56" i="31"/>
  <c r="S56" i="31"/>
  <c r="T56" i="31"/>
  <c r="F57" i="31"/>
  <c r="G57" i="31"/>
  <c r="H57" i="31"/>
  <c r="I57" i="31"/>
  <c r="J57" i="31"/>
  <c r="K57" i="31"/>
  <c r="L57" i="31"/>
  <c r="M57" i="31"/>
  <c r="N57" i="31"/>
  <c r="O57" i="31"/>
  <c r="P57" i="31"/>
  <c r="Q57" i="31"/>
  <c r="R57" i="31"/>
  <c r="S57" i="31"/>
  <c r="T57" i="31"/>
  <c r="F58" i="31"/>
  <c r="G58" i="31"/>
  <c r="H58" i="31"/>
  <c r="I58" i="31"/>
  <c r="J58" i="31"/>
  <c r="K58" i="31"/>
  <c r="L58" i="31"/>
  <c r="M58" i="31"/>
  <c r="N58" i="31"/>
  <c r="O58" i="31"/>
  <c r="P58" i="31"/>
  <c r="Q58" i="31"/>
  <c r="R58" i="31"/>
  <c r="S58" i="31"/>
  <c r="T58" i="31"/>
  <c r="F59" i="31"/>
  <c r="G59" i="31"/>
  <c r="H59" i="31"/>
  <c r="I59" i="31"/>
  <c r="J59" i="31"/>
  <c r="K59" i="31"/>
  <c r="L59" i="31"/>
  <c r="M59" i="31"/>
  <c r="N59" i="31"/>
  <c r="O59" i="31"/>
  <c r="P59" i="31"/>
  <c r="Q59" i="31"/>
  <c r="R59" i="31"/>
  <c r="S59" i="31"/>
  <c r="T59" i="31"/>
  <c r="F60" i="31"/>
  <c r="G60" i="31"/>
  <c r="H60" i="31"/>
  <c r="I60" i="31"/>
  <c r="J60" i="31"/>
  <c r="K60" i="31"/>
  <c r="L60" i="31"/>
  <c r="M60" i="31"/>
  <c r="N60" i="31"/>
  <c r="O60" i="31"/>
  <c r="P60" i="31"/>
  <c r="Q60" i="31"/>
  <c r="R60" i="31"/>
  <c r="S60" i="31"/>
  <c r="T60" i="31"/>
  <c r="F61" i="31"/>
  <c r="G61" i="31"/>
  <c r="H61" i="31"/>
  <c r="I61" i="31"/>
  <c r="J61" i="31"/>
  <c r="K61" i="31"/>
  <c r="L61" i="31"/>
  <c r="M61" i="31"/>
  <c r="N61" i="31"/>
  <c r="O61" i="31"/>
  <c r="P61" i="31"/>
  <c r="Q61" i="31"/>
  <c r="R61" i="31"/>
  <c r="S61" i="31"/>
  <c r="T61" i="31"/>
  <c r="F62" i="31"/>
  <c r="G62" i="31"/>
  <c r="H62" i="31"/>
  <c r="I62" i="31"/>
  <c r="J62" i="31"/>
  <c r="K62" i="31"/>
  <c r="L62" i="31"/>
  <c r="M62" i="31"/>
  <c r="N62" i="31"/>
  <c r="O62" i="31"/>
  <c r="P62" i="31"/>
  <c r="Q62" i="31"/>
  <c r="R62" i="31"/>
  <c r="S62" i="31"/>
  <c r="T62" i="31"/>
  <c r="F63" i="31"/>
  <c r="G63" i="31"/>
  <c r="H63" i="31"/>
  <c r="I63" i="31"/>
  <c r="J63" i="31"/>
  <c r="K63" i="31"/>
  <c r="L63" i="31"/>
  <c r="M63" i="31"/>
  <c r="N63" i="31"/>
  <c r="O63" i="31"/>
  <c r="P63" i="31"/>
  <c r="Q63" i="31"/>
  <c r="R63" i="31"/>
  <c r="S63" i="31"/>
  <c r="T63" i="31"/>
  <c r="F64" i="31"/>
  <c r="G64" i="31"/>
  <c r="H64" i="31"/>
  <c r="I64" i="31"/>
  <c r="J64" i="31"/>
  <c r="K64" i="31"/>
  <c r="L64" i="31"/>
  <c r="M64" i="31"/>
  <c r="N64" i="31"/>
  <c r="O64" i="31"/>
  <c r="P64" i="31"/>
  <c r="Q64" i="31"/>
  <c r="R64" i="31"/>
  <c r="S64" i="31"/>
  <c r="T64" i="31"/>
  <c r="F65" i="31"/>
  <c r="G65" i="31"/>
  <c r="H65" i="31"/>
  <c r="I65" i="31"/>
  <c r="J65" i="31"/>
  <c r="K65" i="31"/>
  <c r="L65" i="31"/>
  <c r="M65" i="31"/>
  <c r="N65" i="31"/>
  <c r="O65" i="31"/>
  <c r="P65" i="31"/>
  <c r="Q65" i="31"/>
  <c r="R65" i="31"/>
  <c r="S65" i="31"/>
  <c r="T65" i="31"/>
  <c r="F66" i="31"/>
  <c r="G66" i="31"/>
  <c r="H66" i="31"/>
  <c r="I66" i="31"/>
  <c r="J66" i="31"/>
  <c r="K66" i="31"/>
  <c r="L66" i="31"/>
  <c r="M66" i="31"/>
  <c r="N66" i="31"/>
  <c r="O66" i="31"/>
  <c r="P66" i="31"/>
  <c r="Q66" i="31"/>
  <c r="R66" i="31"/>
  <c r="S66" i="31"/>
  <c r="T66" i="31"/>
  <c r="F67" i="31"/>
  <c r="G67" i="31"/>
  <c r="H67" i="31"/>
  <c r="I67" i="31"/>
  <c r="J67" i="31"/>
  <c r="K67" i="31"/>
  <c r="L67" i="31"/>
  <c r="M67" i="31"/>
  <c r="N67" i="31"/>
  <c r="O67" i="31"/>
  <c r="P67" i="31"/>
  <c r="Q67" i="31"/>
  <c r="R67" i="31"/>
  <c r="S67" i="31"/>
  <c r="T67" i="31"/>
  <c r="F68" i="31"/>
  <c r="G68" i="31"/>
  <c r="H68" i="31"/>
  <c r="I68" i="31"/>
  <c r="J68" i="31"/>
  <c r="K68" i="31"/>
  <c r="L68" i="31"/>
  <c r="M68" i="31"/>
  <c r="N68" i="31"/>
  <c r="O68" i="31"/>
  <c r="P68" i="31"/>
  <c r="Q68" i="31"/>
  <c r="R68" i="31"/>
  <c r="S68" i="31"/>
  <c r="T68" i="31"/>
  <c r="E50" i="31"/>
  <c r="E51" i="31"/>
  <c r="E52" i="31"/>
  <c r="E53" i="31"/>
  <c r="E54" i="31"/>
  <c r="E55" i="31"/>
  <c r="E56" i="31"/>
  <c r="E57" i="31"/>
  <c r="E58" i="31"/>
  <c r="E59" i="31"/>
  <c r="E60" i="31"/>
  <c r="E61" i="31"/>
  <c r="E62" i="31"/>
  <c r="E63" i="31"/>
  <c r="E64" i="31"/>
  <c r="E65" i="31"/>
  <c r="E66" i="31"/>
  <c r="E67" i="31"/>
  <c r="E68" i="31"/>
  <c r="E49" i="31"/>
  <c r="F97" i="31"/>
  <c r="G97" i="31"/>
  <c r="H97" i="31"/>
  <c r="I97" i="31"/>
  <c r="J97" i="31"/>
  <c r="K97" i="31"/>
  <c r="L97" i="31"/>
  <c r="M97" i="31"/>
  <c r="N97" i="31"/>
  <c r="O97" i="31"/>
  <c r="P97" i="31"/>
  <c r="Q97" i="31"/>
  <c r="R97" i="31"/>
  <c r="S97" i="31"/>
  <c r="T97" i="31"/>
  <c r="F98" i="31"/>
  <c r="G98" i="31"/>
  <c r="H98" i="31"/>
  <c r="I98" i="31"/>
  <c r="J98" i="31"/>
  <c r="K98" i="31"/>
  <c r="L98" i="31"/>
  <c r="M98" i="31"/>
  <c r="N98" i="31"/>
  <c r="O98" i="31"/>
  <c r="P98" i="31"/>
  <c r="Q98" i="31"/>
  <c r="R98" i="31"/>
  <c r="S98" i="31"/>
  <c r="T98" i="31"/>
  <c r="F99" i="31"/>
  <c r="G99" i="31"/>
  <c r="H99" i="31"/>
  <c r="I99" i="31"/>
  <c r="J99" i="31"/>
  <c r="K99" i="31"/>
  <c r="L99" i="31"/>
  <c r="M99" i="31"/>
  <c r="N99" i="31"/>
  <c r="O99" i="31"/>
  <c r="P99" i="31"/>
  <c r="Q99" i="31"/>
  <c r="R99" i="31"/>
  <c r="S99" i="31"/>
  <c r="T99" i="31"/>
  <c r="F100" i="31"/>
  <c r="G100" i="31"/>
  <c r="H100" i="31"/>
  <c r="I100" i="31"/>
  <c r="J100" i="31"/>
  <c r="K100" i="31"/>
  <c r="L100" i="31"/>
  <c r="M100" i="31"/>
  <c r="N100" i="31"/>
  <c r="O100" i="31"/>
  <c r="P100" i="31"/>
  <c r="Q100" i="31"/>
  <c r="R100" i="31"/>
  <c r="S100" i="31"/>
  <c r="T100" i="31"/>
  <c r="F101" i="31"/>
  <c r="G101" i="31"/>
  <c r="H101" i="31"/>
  <c r="I101" i="31"/>
  <c r="J101" i="31"/>
  <c r="K101" i="31"/>
  <c r="L101" i="31"/>
  <c r="M101" i="31"/>
  <c r="N101" i="31"/>
  <c r="O101" i="31"/>
  <c r="P101" i="31"/>
  <c r="Q101" i="31"/>
  <c r="R101" i="31"/>
  <c r="S101" i="31"/>
  <c r="T101" i="31"/>
  <c r="F102" i="31"/>
  <c r="G102" i="31"/>
  <c r="H102" i="31"/>
  <c r="I102" i="31"/>
  <c r="J102" i="31"/>
  <c r="K102" i="31"/>
  <c r="L102" i="31"/>
  <c r="M102" i="31"/>
  <c r="N102" i="31"/>
  <c r="O102" i="31"/>
  <c r="P102" i="31"/>
  <c r="Q102" i="31"/>
  <c r="R102" i="31"/>
  <c r="S102" i="31"/>
  <c r="T102" i="31"/>
  <c r="F103" i="31"/>
  <c r="G103" i="31"/>
  <c r="H103" i="31"/>
  <c r="I103" i="31"/>
  <c r="J103" i="31"/>
  <c r="K103" i="31"/>
  <c r="L103" i="31"/>
  <c r="M103" i="31"/>
  <c r="N103" i="31"/>
  <c r="O103" i="31"/>
  <c r="P103" i="31"/>
  <c r="Q103" i="31"/>
  <c r="R103" i="31"/>
  <c r="S103" i="31"/>
  <c r="T103" i="31"/>
  <c r="F104" i="31"/>
  <c r="G104" i="31"/>
  <c r="H104" i="31"/>
  <c r="I104" i="31"/>
  <c r="J104" i="31"/>
  <c r="K104" i="31"/>
  <c r="L104" i="31"/>
  <c r="M104" i="31"/>
  <c r="N104" i="31"/>
  <c r="O104" i="31"/>
  <c r="P104" i="31"/>
  <c r="Q104" i="31"/>
  <c r="R104" i="31"/>
  <c r="S104" i="31"/>
  <c r="T104" i="31"/>
  <c r="F105" i="31"/>
  <c r="G105" i="31"/>
  <c r="H105" i="31"/>
  <c r="I105" i="31"/>
  <c r="J105" i="31"/>
  <c r="K105" i="31"/>
  <c r="L105" i="31"/>
  <c r="M105" i="31"/>
  <c r="N105" i="31"/>
  <c r="O105" i="31"/>
  <c r="P105" i="31"/>
  <c r="Q105" i="31"/>
  <c r="R105" i="31"/>
  <c r="S105" i="31"/>
  <c r="T105" i="31"/>
  <c r="F106" i="31"/>
  <c r="G106" i="31"/>
  <c r="H106" i="31"/>
  <c r="I106" i="31"/>
  <c r="J106" i="31"/>
  <c r="K106" i="31"/>
  <c r="L106" i="31"/>
  <c r="M106" i="31"/>
  <c r="N106" i="31"/>
  <c r="O106" i="31"/>
  <c r="P106" i="31"/>
  <c r="Q106" i="31"/>
  <c r="R106" i="31"/>
  <c r="S106" i="31"/>
  <c r="T106" i="31"/>
  <c r="F107" i="31"/>
  <c r="G107" i="31"/>
  <c r="H107" i="31"/>
  <c r="I107" i="31"/>
  <c r="J107" i="31"/>
  <c r="K107" i="31"/>
  <c r="L107" i="31"/>
  <c r="M107" i="31"/>
  <c r="N107" i="31"/>
  <c r="O107" i="31"/>
  <c r="P107" i="31"/>
  <c r="Q107" i="31"/>
  <c r="R107" i="31"/>
  <c r="S107" i="31"/>
  <c r="T107" i="31"/>
  <c r="F108" i="31"/>
  <c r="G108" i="31"/>
  <c r="H108" i="31"/>
  <c r="I108" i="31"/>
  <c r="J108" i="31"/>
  <c r="K108" i="31"/>
  <c r="L108" i="31"/>
  <c r="M108" i="31"/>
  <c r="N108" i="31"/>
  <c r="O108" i="31"/>
  <c r="P108" i="31"/>
  <c r="Q108" i="31"/>
  <c r="R108" i="31"/>
  <c r="S108" i="31"/>
  <c r="T108" i="31"/>
  <c r="F109" i="31"/>
  <c r="G109" i="31"/>
  <c r="H109" i="31"/>
  <c r="I109" i="31"/>
  <c r="J109" i="31"/>
  <c r="K109" i="31"/>
  <c r="L109" i="31"/>
  <c r="M109" i="31"/>
  <c r="N109" i="31"/>
  <c r="O109" i="31"/>
  <c r="P109" i="31"/>
  <c r="Q109" i="31"/>
  <c r="R109" i="31"/>
  <c r="S109" i="31"/>
  <c r="T109" i="31"/>
  <c r="F110" i="31"/>
  <c r="G110" i="31"/>
  <c r="H110" i="31"/>
  <c r="I110" i="31"/>
  <c r="J110" i="31"/>
  <c r="K110" i="31"/>
  <c r="L110" i="31"/>
  <c r="M110" i="31"/>
  <c r="N110" i="31"/>
  <c r="O110" i="31"/>
  <c r="P110" i="31"/>
  <c r="Q110" i="31"/>
  <c r="R110" i="31"/>
  <c r="S110" i="31"/>
  <c r="T110" i="31"/>
  <c r="F111" i="31"/>
  <c r="G111" i="31"/>
  <c r="H111" i="31"/>
  <c r="I111" i="31"/>
  <c r="J111" i="31"/>
  <c r="K111" i="31"/>
  <c r="L111" i="31"/>
  <c r="M111" i="31"/>
  <c r="N111" i="31"/>
  <c r="O111" i="31"/>
  <c r="P111" i="31"/>
  <c r="Q111" i="31"/>
  <c r="R111" i="31"/>
  <c r="S111" i="31"/>
  <c r="T111" i="31"/>
  <c r="F112" i="31"/>
  <c r="G112" i="31"/>
  <c r="H112" i="31"/>
  <c r="I112" i="31"/>
  <c r="J112" i="31"/>
  <c r="K112" i="31"/>
  <c r="L112" i="31"/>
  <c r="M112" i="31"/>
  <c r="N112" i="31"/>
  <c r="O112" i="31"/>
  <c r="P112" i="31"/>
  <c r="Q112" i="31"/>
  <c r="R112" i="31"/>
  <c r="S112" i="31"/>
  <c r="T112" i="31"/>
  <c r="F113" i="31"/>
  <c r="G113" i="31"/>
  <c r="H113" i="31"/>
  <c r="I113" i="31"/>
  <c r="J113" i="31"/>
  <c r="K113" i="31"/>
  <c r="L113" i="31"/>
  <c r="M113" i="31"/>
  <c r="N113" i="31"/>
  <c r="O113" i="31"/>
  <c r="P113" i="31"/>
  <c r="Q113" i="31"/>
  <c r="R113" i="31"/>
  <c r="S113" i="31"/>
  <c r="T113" i="31"/>
  <c r="F114" i="31"/>
  <c r="G114" i="31"/>
  <c r="H114" i="31"/>
  <c r="I114" i="31"/>
  <c r="J114" i="31"/>
  <c r="K114" i="31"/>
  <c r="L114" i="31"/>
  <c r="M114" i="31"/>
  <c r="N114" i="31"/>
  <c r="O114" i="31"/>
  <c r="P114" i="31"/>
  <c r="Q114" i="31"/>
  <c r="R114" i="31"/>
  <c r="S114" i="31"/>
  <c r="T114" i="31"/>
  <c r="F115" i="31"/>
  <c r="G115" i="31"/>
  <c r="H115" i="31"/>
  <c r="I115" i="31"/>
  <c r="J115" i="31"/>
  <c r="K115" i="31"/>
  <c r="L115" i="31"/>
  <c r="M115" i="31"/>
  <c r="N115" i="31"/>
  <c r="O115" i="31"/>
  <c r="P115" i="31"/>
  <c r="Q115" i="31"/>
  <c r="R115" i="31"/>
  <c r="S115" i="31"/>
  <c r="T115" i="31"/>
  <c r="F116" i="31"/>
  <c r="G116" i="31"/>
  <c r="H116" i="31"/>
  <c r="I116" i="31"/>
  <c r="J116" i="31"/>
  <c r="K116" i="31"/>
  <c r="L116" i="31"/>
  <c r="M116" i="31"/>
  <c r="N116" i="31"/>
  <c r="O116" i="31"/>
  <c r="P116" i="31"/>
  <c r="Q116" i="31"/>
  <c r="R116" i="31"/>
  <c r="S116" i="31"/>
  <c r="T116" i="31"/>
  <c r="E98" i="31"/>
  <c r="E99" i="31"/>
  <c r="E100" i="31"/>
  <c r="E101" i="31"/>
  <c r="E102" i="31"/>
  <c r="E103" i="31"/>
  <c r="E104" i="31"/>
  <c r="E105" i="31"/>
  <c r="E106" i="31"/>
  <c r="E107" i="31"/>
  <c r="E108" i="31"/>
  <c r="E109" i="31"/>
  <c r="E110" i="31"/>
  <c r="E111" i="31"/>
  <c r="E112" i="31"/>
  <c r="E113" i="31"/>
  <c r="E114" i="31"/>
  <c r="E115" i="31"/>
  <c r="E116" i="31"/>
  <c r="E97" i="31"/>
  <c r="U25" i="31"/>
  <c r="U26" i="31"/>
  <c r="U27" i="31"/>
  <c r="U28" i="31"/>
  <c r="U29" i="31"/>
  <c r="U30" i="31"/>
  <c r="U31" i="31"/>
  <c r="U32" i="31"/>
  <c r="U33" i="31"/>
  <c r="U34" i="31"/>
  <c r="U35" i="31"/>
  <c r="U36" i="31"/>
  <c r="U37" i="31"/>
  <c r="U38" i="31"/>
  <c r="U39" i="31"/>
  <c r="U40" i="31"/>
  <c r="U41" i="31"/>
  <c r="U42" i="31"/>
  <c r="U43" i="31"/>
  <c r="U24" i="31"/>
  <c r="F44" i="31"/>
  <c r="G44" i="31"/>
  <c r="H44" i="31"/>
  <c r="I44" i="31"/>
  <c r="J44" i="31"/>
  <c r="K44" i="31"/>
  <c r="L44" i="31"/>
  <c r="M44" i="31"/>
  <c r="N44" i="31"/>
  <c r="O44" i="31"/>
  <c r="P44" i="31"/>
  <c r="Q44" i="31"/>
  <c r="R44" i="31"/>
  <c r="S44" i="31"/>
  <c r="T44" i="31"/>
  <c r="E44" i="31"/>
  <c r="D4" i="4"/>
  <c r="S7" i="31"/>
  <c r="S8" i="31"/>
  <c r="S6" i="31"/>
  <c r="M69" i="31"/>
  <c r="U50" i="31"/>
  <c r="U61" i="31"/>
  <c r="U53" i="31"/>
  <c r="U68" i="31"/>
  <c r="U66" i="31"/>
  <c r="U60" i="31"/>
  <c r="U58" i="31"/>
  <c r="T69" i="31"/>
  <c r="L69" i="31"/>
  <c r="Q69" i="31"/>
  <c r="I69" i="31"/>
  <c r="P69" i="31"/>
  <c r="H69" i="31"/>
  <c r="O69" i="31"/>
  <c r="G69" i="31"/>
  <c r="N69" i="31"/>
  <c r="F69" i="31"/>
  <c r="U52" i="31"/>
  <c r="U62" i="31"/>
  <c r="U54" i="31"/>
  <c r="S69" i="31"/>
  <c r="K69" i="31"/>
  <c r="R69" i="31"/>
  <c r="J69" i="31"/>
  <c r="U67" i="31"/>
  <c r="U59" i="31"/>
  <c r="U51" i="31"/>
  <c r="U57" i="31"/>
  <c r="U64" i="31"/>
  <c r="U63" i="31"/>
  <c r="U55" i="31"/>
  <c r="U65" i="31"/>
  <c r="U56" i="31"/>
  <c r="E69" i="31"/>
  <c r="U49" i="31"/>
  <c r="S18" i="31"/>
  <c r="G15" i="12"/>
  <c r="F15" i="12"/>
  <c r="F11" i="12"/>
  <c r="G11" i="12"/>
  <c r="F12" i="12"/>
  <c r="G12" i="12"/>
  <c r="F13" i="12"/>
  <c r="G13" i="12"/>
  <c r="F14" i="12"/>
  <c r="G14" i="12"/>
  <c r="G10" i="12"/>
  <c r="F10" i="12"/>
  <c r="H51" i="2"/>
  <c r="H52" i="2"/>
  <c r="G52" i="2"/>
  <c r="G51" i="2"/>
  <c r="F48" i="2"/>
  <c r="H43" i="2"/>
  <c r="G43" i="2"/>
  <c r="H42" i="2"/>
  <c r="G42" i="2"/>
  <c r="H41" i="2"/>
  <c r="G41" i="2"/>
  <c r="H40" i="2"/>
  <c r="G40" i="2"/>
  <c r="H39" i="2"/>
  <c r="G39" i="2"/>
  <c r="H33" i="2"/>
  <c r="G33" i="2"/>
  <c r="H32" i="2"/>
  <c r="G32" i="2"/>
  <c r="H31" i="2"/>
  <c r="G31" i="2"/>
  <c r="G30" i="2"/>
  <c r="H29" i="2"/>
  <c r="G29" i="2"/>
  <c r="G28" i="2"/>
  <c r="G27" i="2"/>
  <c r="H26" i="2"/>
  <c r="H25" i="2"/>
  <c r="G26" i="2"/>
  <c r="G25" i="2"/>
  <c r="H24" i="2"/>
  <c r="G24" i="2"/>
  <c r="F35" i="2"/>
  <c r="H18" i="2"/>
  <c r="G18" i="2"/>
  <c r="G17" i="2"/>
  <c r="H17" i="2"/>
  <c r="H16" i="2"/>
  <c r="G16" i="2"/>
  <c r="H15" i="2"/>
  <c r="G15" i="2"/>
  <c r="G48" i="2"/>
  <c r="H48" i="2"/>
  <c r="H35" i="2"/>
  <c r="G35" i="2"/>
  <c r="P54" i="1"/>
  <c r="N54" i="1"/>
  <c r="L54" i="1"/>
  <c r="J54" i="1"/>
  <c r="P52" i="1"/>
  <c r="N52" i="1"/>
  <c r="L52" i="1"/>
  <c r="J52" i="1"/>
  <c r="P51" i="1"/>
  <c r="N51" i="1"/>
  <c r="L51" i="1"/>
  <c r="J51" i="1"/>
  <c r="D38" i="1"/>
  <c r="D39" i="1"/>
  <c r="D40" i="1"/>
  <c r="D41" i="1"/>
  <c r="D42" i="1"/>
  <c r="D37" i="1"/>
  <c r="I5" i="8"/>
  <c r="H5" i="8"/>
  <c r="G5" i="8"/>
  <c r="F5" i="8"/>
  <c r="P39" i="1"/>
  <c r="N39" i="1"/>
  <c r="L39" i="1"/>
  <c r="J39" i="1"/>
  <c r="P38" i="1"/>
  <c r="N38" i="1"/>
  <c r="L38" i="1"/>
  <c r="J38" i="1"/>
  <c r="P40" i="1"/>
  <c r="N40" i="1"/>
  <c r="L40" i="1"/>
  <c r="J40" i="1"/>
  <c r="P41" i="1"/>
  <c r="N41" i="1"/>
  <c r="L41" i="1"/>
  <c r="J41" i="1"/>
  <c r="L37" i="1"/>
  <c r="N37" i="1"/>
  <c r="P37" i="1"/>
  <c r="J37" i="1"/>
  <c r="P25" i="22"/>
  <c r="P24" i="22"/>
  <c r="P23" i="22"/>
  <c r="P19" i="22"/>
  <c r="P40" i="22"/>
  <c r="P42" i="22"/>
  <c r="P41" i="22"/>
  <c r="P43" i="22"/>
  <c r="P39" i="22"/>
  <c r="L1" i="23"/>
  <c r="N1" i="23"/>
  <c r="P1" i="23"/>
  <c r="L1" i="22"/>
  <c r="L39" i="22"/>
  <c r="J1" i="22"/>
  <c r="J41" i="22"/>
  <c r="N1" i="22"/>
  <c r="N42" i="22"/>
  <c r="J1" i="23"/>
  <c r="J40" i="22"/>
  <c r="J39" i="22"/>
  <c r="N39" i="22"/>
  <c r="J42" i="22"/>
  <c r="N40" i="22"/>
  <c r="N41" i="22"/>
  <c r="L25" i="22"/>
  <c r="L23" i="22"/>
  <c r="L24" i="22"/>
  <c r="L19" i="22"/>
  <c r="L41" i="22"/>
  <c r="L40" i="22"/>
  <c r="L42" i="22"/>
  <c r="N25" i="22"/>
  <c r="N24" i="22"/>
  <c r="N23" i="22"/>
  <c r="N19" i="22"/>
  <c r="N43" i="22"/>
  <c r="J23" i="22"/>
  <c r="J25" i="22"/>
  <c r="J24" i="22"/>
  <c r="J19" i="22"/>
  <c r="J43" i="22"/>
  <c r="L43" i="22"/>
  <c r="D25" i="1"/>
  <c r="D20" i="1"/>
  <c r="D19" i="1"/>
  <c r="D14" i="1"/>
  <c r="D15" i="1"/>
  <c r="D16" i="1"/>
  <c r="D17" i="1"/>
  <c r="D13" i="1"/>
  <c r="H7" i="3"/>
  <c r="G7" i="3"/>
  <c r="F7" i="3"/>
  <c r="E7" i="3"/>
  <c r="F6" i="3"/>
  <c r="L15" i="1"/>
  <c r="G6" i="3"/>
  <c r="N15" i="1"/>
  <c r="H6" i="3"/>
  <c r="P15" i="1"/>
  <c r="E6" i="3"/>
  <c r="J15" i="1"/>
  <c r="P13" i="1"/>
  <c r="N13" i="1"/>
  <c r="L13" i="1"/>
  <c r="J13" i="1"/>
  <c r="L17" i="22"/>
  <c r="J15" i="22"/>
  <c r="L15" i="22"/>
  <c r="N15" i="22"/>
  <c r="P17" i="22"/>
  <c r="J17" i="22"/>
  <c r="N17" i="22"/>
  <c r="P16" i="1"/>
  <c r="N16" i="1"/>
  <c r="L16" i="1"/>
  <c r="J16" i="1"/>
  <c r="G123" i="31"/>
  <c r="G17" i="12"/>
  <c r="J18" i="22"/>
  <c r="L18" i="22"/>
  <c r="N18" i="22"/>
  <c r="G7" i="2"/>
  <c r="N8" i="1"/>
  <c r="H7" i="2"/>
  <c r="P8" i="1"/>
  <c r="P10" i="22"/>
  <c r="N10" i="22"/>
  <c r="J36" i="22"/>
  <c r="J35" i="22"/>
  <c r="J33" i="22"/>
  <c r="J32" i="22"/>
  <c r="J34" i="22"/>
  <c r="J27" i="1"/>
  <c r="J31" i="22"/>
  <c r="J30" i="22"/>
  <c r="P28" i="1"/>
  <c r="E27" i="4"/>
  <c r="E5" i="4"/>
  <c r="E5" i="3"/>
  <c r="H5" i="3"/>
  <c r="H54" i="2"/>
  <c r="G54" i="2"/>
  <c r="F8" i="2"/>
  <c r="L9" i="1"/>
  <c r="F54" i="2"/>
  <c r="E8" i="2"/>
  <c r="J9" i="1"/>
  <c r="E7" i="2"/>
  <c r="J8" i="1"/>
  <c r="G18" i="4"/>
  <c r="H18" i="4"/>
  <c r="J10" i="22"/>
  <c r="J11" i="22"/>
  <c r="L11" i="22"/>
  <c r="P30" i="22"/>
  <c r="J29" i="22"/>
  <c r="P14" i="1"/>
  <c r="H10" i="3"/>
  <c r="J14" i="1"/>
  <c r="E10" i="3"/>
  <c r="N25" i="1"/>
  <c r="L25" i="1"/>
  <c r="G8" i="2"/>
  <c r="N9" i="1"/>
  <c r="H8" i="2"/>
  <c r="P9" i="1"/>
  <c r="F7" i="2"/>
  <c r="L8" i="1"/>
  <c r="J16" i="22"/>
  <c r="P12" i="1"/>
  <c r="J12" i="1"/>
  <c r="P11" i="22"/>
  <c r="L10" i="22"/>
  <c r="N11" i="22"/>
  <c r="P27" i="22"/>
  <c r="N27" i="22"/>
  <c r="J27" i="22"/>
  <c r="L27" i="22"/>
  <c r="F6" i="2"/>
  <c r="L7" i="1"/>
  <c r="E6" i="2"/>
  <c r="J7" i="1"/>
  <c r="J14" i="22"/>
  <c r="P14" i="22"/>
  <c r="J9" i="22"/>
  <c r="L9" i="22"/>
  <c r="G6" i="2"/>
  <c r="N7" i="1"/>
  <c r="H6" i="2"/>
  <c r="P7" i="1"/>
  <c r="G20" i="2"/>
  <c r="F5" i="2"/>
  <c r="L6" i="1"/>
  <c r="H20" i="2"/>
  <c r="F20" i="2"/>
  <c r="E5" i="2"/>
  <c r="J6" i="1"/>
  <c r="P9" i="22"/>
  <c r="L5" i="1"/>
  <c r="L8" i="22"/>
  <c r="N9" i="22"/>
  <c r="J8" i="22"/>
  <c r="J5" i="1"/>
  <c r="G5" i="2"/>
  <c r="N6" i="1"/>
  <c r="H5" i="2"/>
  <c r="P6" i="1"/>
  <c r="F17" i="12"/>
  <c r="F4" i="12"/>
  <c r="L50" i="1"/>
  <c r="H4" i="12"/>
  <c r="P50" i="1"/>
  <c r="E17" i="12"/>
  <c r="P5" i="1"/>
  <c r="P8" i="22"/>
  <c r="N5" i="1"/>
  <c r="N8" i="22"/>
  <c r="J7" i="22"/>
  <c r="L7" i="22"/>
  <c r="E4" i="12"/>
  <c r="J50" i="1"/>
  <c r="G4" i="12"/>
  <c r="N50" i="1"/>
  <c r="N7" i="22"/>
  <c r="P7" i="22"/>
  <c r="A49" i="26"/>
  <c r="A4" i="26"/>
  <c r="D53" i="26"/>
  <c r="H10" i="8"/>
  <c r="I10" i="8"/>
  <c r="G10" i="8"/>
  <c r="F10" i="8"/>
  <c r="N42" i="1"/>
  <c r="N36" i="1"/>
  <c r="H12" i="8"/>
  <c r="J42" i="1"/>
  <c r="F12" i="8"/>
  <c r="L42" i="1"/>
  <c r="L36" i="1"/>
  <c r="G12" i="8"/>
  <c r="P42" i="1"/>
  <c r="P36" i="1"/>
  <c r="I12" i="8"/>
  <c r="N44" i="22"/>
  <c r="J36" i="1"/>
  <c r="J44" i="22"/>
  <c r="L44" i="22"/>
  <c r="P44" i="22"/>
  <c r="L38" i="22"/>
  <c r="C28" i="26"/>
  <c r="L43" i="1"/>
  <c r="L45" i="22"/>
  <c r="P43" i="1"/>
  <c r="P45" i="22"/>
  <c r="E28" i="26"/>
  <c r="J43" i="1"/>
  <c r="J45" i="22"/>
  <c r="J38" i="22"/>
  <c r="B28" i="26"/>
  <c r="N38" i="22"/>
  <c r="D28" i="26"/>
  <c r="N43" i="1"/>
  <c r="N45" i="22"/>
  <c r="G131" i="31"/>
  <c r="G139" i="31"/>
  <c r="G138" i="31"/>
  <c r="G140" i="31"/>
  <c r="E3" i="33"/>
  <c r="E4" i="33"/>
  <c r="D3" i="33"/>
  <c r="D4" i="33"/>
  <c r="C3" i="33"/>
  <c r="C4" i="33"/>
  <c r="B3" i="33"/>
  <c r="B4" i="33"/>
  <c r="G141" i="31"/>
  <c r="G142" i="31"/>
  <c r="J23" i="23"/>
  <c r="P25" i="23"/>
  <c r="N25" i="23"/>
  <c r="J25" i="23"/>
  <c r="L25" i="23"/>
  <c r="L23" i="23"/>
  <c r="J24" i="23"/>
  <c r="P24" i="23"/>
  <c r="L24" i="23"/>
  <c r="P23" i="23"/>
  <c r="N24" i="23"/>
  <c r="N23" i="23"/>
  <c r="P19" i="23"/>
  <c r="L19" i="23"/>
  <c r="J19" i="23"/>
  <c r="N19" i="23"/>
  <c r="J41" i="23"/>
  <c r="L42" i="23"/>
  <c r="J43" i="23"/>
  <c r="P43" i="23"/>
  <c r="N43" i="23"/>
  <c r="J40" i="23"/>
  <c r="L39" i="23"/>
  <c r="P39" i="23"/>
  <c r="P41" i="23"/>
  <c r="L43" i="23"/>
  <c r="N42" i="23"/>
  <c r="L40" i="23"/>
  <c r="L41" i="23"/>
  <c r="N41" i="23"/>
  <c r="J39" i="23"/>
  <c r="J42" i="23"/>
  <c r="P40" i="23"/>
  <c r="P42" i="23"/>
  <c r="N40" i="23"/>
  <c r="N39" i="23"/>
  <c r="L17" i="23"/>
  <c r="P15" i="23"/>
  <c r="J15" i="23"/>
  <c r="P17" i="23"/>
  <c r="L15" i="23"/>
  <c r="J17" i="23"/>
  <c r="N17" i="23"/>
  <c r="N15" i="23"/>
  <c r="J18" i="23"/>
  <c r="L18" i="23"/>
  <c r="N18" i="23"/>
  <c r="P18" i="23"/>
  <c r="P10" i="23"/>
  <c r="N10" i="23"/>
  <c r="J33" i="23"/>
  <c r="J34" i="23"/>
  <c r="J35" i="23"/>
  <c r="J36" i="23"/>
  <c r="J32" i="23"/>
  <c r="J31" i="23"/>
  <c r="J30" i="23"/>
  <c r="J10" i="23"/>
  <c r="J29" i="23"/>
  <c r="L11" i="23"/>
  <c r="J11" i="23"/>
  <c r="P30" i="23"/>
  <c r="J16" i="23"/>
  <c r="L10" i="23"/>
  <c r="J27" i="23"/>
  <c r="L27" i="23"/>
  <c r="P27" i="23"/>
  <c r="P11" i="23"/>
  <c r="P16" i="23"/>
  <c r="N11" i="23"/>
  <c r="N27" i="23"/>
  <c r="J14" i="23"/>
  <c r="J9" i="23"/>
  <c r="L9" i="23"/>
  <c r="P14" i="23"/>
  <c r="F38" i="26"/>
  <c r="P9" i="23"/>
  <c r="J8" i="23"/>
  <c r="L8" i="23"/>
  <c r="N9" i="23"/>
  <c r="P8" i="23"/>
  <c r="J7" i="23"/>
  <c r="L7" i="23"/>
  <c r="N8" i="23"/>
  <c r="N7" i="23"/>
  <c r="P7" i="23"/>
  <c r="N44" i="23"/>
  <c r="J44" i="23"/>
  <c r="P44" i="23"/>
  <c r="P38" i="23"/>
  <c r="F43" i="26"/>
  <c r="J38" i="23"/>
  <c r="L44" i="23"/>
  <c r="L38" i="23"/>
  <c r="B43" i="26"/>
  <c r="N38" i="23"/>
  <c r="D43" i="26"/>
  <c r="H27" i="4"/>
  <c r="H5" i="4"/>
  <c r="P26" i="1"/>
  <c r="G27" i="4"/>
  <c r="G5" i="4"/>
  <c r="N26" i="1"/>
  <c r="I48" i="23"/>
  <c r="J26" i="1"/>
  <c r="N24" i="1"/>
  <c r="J28" i="22"/>
  <c r="J28" i="23"/>
  <c r="L26" i="1"/>
  <c r="J24" i="1"/>
  <c r="F61" i="2"/>
  <c r="E9" i="2"/>
  <c r="E7" i="7"/>
  <c r="L28" i="23"/>
  <c r="L28" i="22"/>
  <c r="L24" i="1"/>
  <c r="N26" i="22"/>
  <c r="N26" i="23"/>
  <c r="D40" i="26"/>
  <c r="P28" i="22"/>
  <c r="P28" i="23"/>
  <c r="P24" i="1"/>
  <c r="J26" i="22"/>
  <c r="J26" i="23"/>
  <c r="N28" i="22"/>
  <c r="N28" i="23"/>
  <c r="J10" i="1"/>
  <c r="G61" i="2"/>
  <c r="F9" i="2"/>
  <c r="H61" i="2"/>
  <c r="G9" i="2"/>
  <c r="I61" i="2"/>
  <c r="H9" i="2"/>
  <c r="J12" i="22"/>
  <c r="J12" i="23"/>
  <c r="P26" i="23"/>
  <c r="F40" i="26"/>
  <c r="L26" i="23"/>
  <c r="B40" i="26"/>
  <c r="L26" i="22"/>
  <c r="P10" i="1"/>
  <c r="N10" i="1"/>
  <c r="L10" i="1"/>
  <c r="B55" i="26"/>
  <c r="L12" i="22"/>
  <c r="L12" i="23"/>
  <c r="N12" i="23"/>
  <c r="N12" i="22"/>
  <c r="P12" i="23"/>
  <c r="P12" i="22"/>
  <c r="J54" i="22"/>
  <c r="B68" i="26"/>
  <c r="J54" i="23"/>
  <c r="L32" i="22"/>
  <c r="L32" i="23"/>
  <c r="N32" i="22"/>
  <c r="N32" i="23"/>
  <c r="P32" i="22"/>
  <c r="P32" i="23"/>
  <c r="L28" i="1"/>
  <c r="N36" i="23"/>
  <c r="N36" i="22"/>
  <c r="N35" i="23"/>
  <c r="N35" i="22"/>
  <c r="P35" i="23"/>
  <c r="P36" i="23"/>
  <c r="P36" i="22"/>
  <c r="L36" i="23"/>
  <c r="L36" i="22"/>
  <c r="L30" i="22"/>
  <c r="L30" i="23"/>
  <c r="N34" i="22"/>
  <c r="N34" i="23"/>
  <c r="P34" i="23"/>
  <c r="P34" i="22"/>
  <c r="L34" i="22"/>
  <c r="L34" i="23"/>
  <c r="L35" i="22"/>
  <c r="L35" i="23"/>
  <c r="N28" i="1"/>
  <c r="N30" i="22"/>
  <c r="N30" i="23"/>
  <c r="P33" i="22"/>
  <c r="P33" i="23"/>
  <c r="N33" i="22"/>
  <c r="N33" i="23"/>
  <c r="L31" i="22"/>
  <c r="L31" i="23"/>
  <c r="N31" i="22"/>
  <c r="N31" i="23"/>
  <c r="L33" i="22"/>
  <c r="L33" i="23"/>
  <c r="P31" i="22"/>
  <c r="P31" i="23"/>
  <c r="N27" i="1"/>
  <c r="P27" i="1"/>
  <c r="L27" i="1"/>
  <c r="F7" i="7"/>
  <c r="P29" i="23"/>
  <c r="F41" i="26"/>
  <c r="N29" i="23"/>
  <c r="D41" i="26"/>
  <c r="N29" i="22"/>
  <c r="L29" i="23"/>
  <c r="B41" i="26"/>
  <c r="L29" i="22"/>
  <c r="F5" i="5"/>
  <c r="L20" i="1"/>
  <c r="G5" i="5"/>
  <c r="N20" i="1"/>
  <c r="H5" i="5"/>
  <c r="P20" i="1"/>
  <c r="N22" i="23"/>
  <c r="N22" i="22"/>
  <c r="L22" i="23"/>
  <c r="L22" i="22"/>
  <c r="P22" i="23"/>
  <c r="P22" i="22"/>
  <c r="J20" i="1"/>
  <c r="J22" i="22"/>
  <c r="J22" i="23"/>
  <c r="G5" i="3"/>
  <c r="F5" i="3"/>
  <c r="N14" i="1"/>
  <c r="G10" i="3"/>
  <c r="L14" i="1"/>
  <c r="F10" i="3"/>
  <c r="N16" i="23"/>
  <c r="N16" i="22"/>
  <c r="L12" i="1"/>
  <c r="L16" i="23"/>
  <c r="L16" i="22"/>
  <c r="N12" i="1"/>
  <c r="D5" i="4"/>
  <c r="L14" i="22"/>
  <c r="L14" i="23"/>
  <c r="B38" i="26"/>
  <c r="N14" i="23"/>
  <c r="D38" i="26"/>
  <c r="N14" i="22"/>
  <c r="D26" i="1"/>
  <c r="I46" i="1"/>
  <c r="B53" i="26"/>
  <c r="C53" i="26"/>
  <c r="E53" i="26"/>
  <c r="C55" i="26"/>
  <c r="D55" i="26"/>
  <c r="E55" i="26"/>
  <c r="E68" i="26"/>
  <c r="P54" i="23"/>
  <c r="F82" i="26"/>
  <c r="N54" i="22"/>
  <c r="D68" i="26"/>
  <c r="N54" i="23"/>
  <c r="D82" i="26"/>
  <c r="L54" i="22"/>
  <c r="C68" i="26"/>
  <c r="L54" i="23"/>
  <c r="B82" i="26"/>
  <c r="J52" i="22"/>
  <c r="B66" i="26"/>
  <c r="J52" i="23"/>
  <c r="N52" i="22"/>
  <c r="D66" i="26"/>
  <c r="N52" i="23"/>
  <c r="D80" i="26"/>
  <c r="L52" i="23"/>
  <c r="B80" i="26"/>
  <c r="L52" i="22"/>
  <c r="C66" i="26"/>
  <c r="E66" i="26"/>
  <c r="P52" i="23"/>
  <c r="F80" i="26"/>
  <c r="C13" i="26"/>
  <c r="B13" i="26"/>
  <c r="E13" i="26"/>
  <c r="D13" i="26"/>
  <c r="B11" i="26"/>
  <c r="D95" i="26"/>
  <c r="F95" i="26"/>
  <c r="B26" i="26"/>
  <c r="B95" i="26"/>
  <c r="E7" i="4"/>
  <c r="G7" i="4"/>
  <c r="F7" i="4"/>
  <c r="H7" i="4"/>
  <c r="D10" i="26"/>
  <c r="E10" i="26"/>
  <c r="C10" i="26"/>
  <c r="B25" i="26"/>
  <c r="C25" i="26"/>
  <c r="D25" i="26"/>
  <c r="B10" i="26"/>
  <c r="E25" i="26"/>
  <c r="H6" i="11"/>
  <c r="G6" i="11"/>
  <c r="F6" i="11"/>
  <c r="E6" i="11"/>
  <c r="E11" i="26"/>
  <c r="C11" i="26"/>
  <c r="C26" i="26"/>
  <c r="E26" i="26"/>
  <c r="D11" i="26"/>
  <c r="D26" i="26"/>
  <c r="B8" i="26"/>
  <c r="B23" i="26"/>
  <c r="B57" i="26"/>
  <c r="J56" i="23"/>
  <c r="J56" i="22"/>
  <c r="B70" i="26"/>
  <c r="C57" i="26"/>
  <c r="D57" i="26"/>
  <c r="E57" i="26"/>
  <c r="E70" i="26"/>
  <c r="P56" i="23"/>
  <c r="F84" i="26"/>
  <c r="N56" i="22"/>
  <c r="D70" i="26"/>
  <c r="N56" i="23"/>
  <c r="D84" i="26"/>
  <c r="L56" i="22"/>
  <c r="C70" i="26"/>
  <c r="L56" i="23"/>
  <c r="B84" i="26"/>
  <c r="C54" i="26"/>
  <c r="D54" i="26"/>
  <c r="E54" i="26"/>
  <c r="C8" i="26"/>
  <c r="B54" i="26"/>
  <c r="C23" i="26"/>
  <c r="B93" i="26"/>
  <c r="E67" i="26"/>
  <c r="P53" i="23"/>
  <c r="F81" i="26"/>
  <c r="N53" i="22"/>
  <c r="D67" i="26"/>
  <c r="N53" i="23"/>
  <c r="D81" i="26"/>
  <c r="L53" i="22"/>
  <c r="C67" i="26"/>
  <c r="L53" i="23"/>
  <c r="B81" i="26"/>
  <c r="J53" i="22"/>
  <c r="B67" i="26"/>
  <c r="J53" i="23"/>
  <c r="D8" i="26"/>
  <c r="D23" i="26"/>
  <c r="D93" i="26"/>
  <c r="E8" i="26"/>
  <c r="E23" i="26"/>
  <c r="F93" i="26"/>
  <c r="E10" i="5"/>
  <c r="D18" i="15"/>
  <c r="G18" i="15"/>
  <c r="J19" i="1"/>
  <c r="G20" i="15"/>
  <c r="D42" i="15"/>
  <c r="E5" i="15"/>
  <c r="J21" i="23"/>
  <c r="J21" i="22"/>
  <c r="J18" i="1"/>
  <c r="J35" i="1"/>
  <c r="J20" i="22"/>
  <c r="J20" i="23"/>
  <c r="F42" i="15"/>
  <c r="E42" i="15"/>
  <c r="J53" i="1"/>
  <c r="B9" i="26"/>
  <c r="G5" i="15"/>
  <c r="N53" i="1"/>
  <c r="F5" i="15"/>
  <c r="L53" i="1"/>
  <c r="B56" i="26"/>
  <c r="J55" i="22"/>
  <c r="B69" i="26"/>
  <c r="J55" i="23"/>
  <c r="B24" i="26"/>
  <c r="L55" i="23"/>
  <c r="B83" i="26"/>
  <c r="C56" i="26"/>
  <c r="L55" i="22"/>
  <c r="C69" i="26"/>
  <c r="N55" i="22"/>
  <c r="D69" i="26"/>
  <c r="N55" i="23"/>
  <c r="D83" i="26"/>
  <c r="D56" i="26"/>
  <c r="F4" i="5"/>
  <c r="G4" i="5"/>
  <c r="N19" i="1"/>
  <c r="H4" i="5"/>
  <c r="P19" i="1"/>
  <c r="P21" i="23"/>
  <c r="P21" i="22"/>
  <c r="N21" i="23"/>
  <c r="N21" i="22"/>
  <c r="H10" i="5"/>
  <c r="D32" i="15"/>
  <c r="G10" i="5"/>
  <c r="P18" i="1"/>
  <c r="P35" i="1"/>
  <c r="F10" i="5"/>
  <c r="L19" i="1"/>
  <c r="N18" i="1"/>
  <c r="N35" i="1"/>
  <c r="N37" i="23"/>
  <c r="D42" i="26"/>
  <c r="N37" i="22"/>
  <c r="D27" i="26"/>
  <c r="D12" i="26"/>
  <c r="D34" i="15"/>
  <c r="G32" i="15"/>
  <c r="G34" i="15"/>
  <c r="P20" i="23"/>
  <c r="F39" i="26"/>
  <c r="N20" i="23"/>
  <c r="D39" i="26"/>
  <c r="N20" i="22"/>
  <c r="H64" i="2"/>
  <c r="H67" i="2"/>
  <c r="G10" i="2"/>
  <c r="L21" i="22"/>
  <c r="L21" i="23"/>
  <c r="L18" i="1"/>
  <c r="L35" i="1"/>
  <c r="E9" i="26"/>
  <c r="D9" i="26"/>
  <c r="G4" i="11"/>
  <c r="N49" i="1"/>
  <c r="L37" i="22"/>
  <c r="C27" i="26"/>
  <c r="L37" i="23"/>
  <c r="B42" i="26"/>
  <c r="C12" i="26"/>
  <c r="G42" i="15"/>
  <c r="H5" i="15"/>
  <c r="P53" i="1"/>
  <c r="D36" i="15"/>
  <c r="L20" i="22"/>
  <c r="L20" i="23"/>
  <c r="B39" i="26"/>
  <c r="B92" i="26"/>
  <c r="G64" i="2"/>
  <c r="G67" i="2"/>
  <c r="C9" i="26"/>
  <c r="F4" i="11"/>
  <c r="L49" i="1"/>
  <c r="E24" i="26"/>
  <c r="D24" i="26"/>
  <c r="N51" i="23"/>
  <c r="D52" i="26"/>
  <c r="D58" i="26"/>
  <c r="N48" i="1"/>
  <c r="N51" i="22"/>
  <c r="E56" i="26"/>
  <c r="P55" i="23"/>
  <c r="F83" i="26"/>
  <c r="E69" i="26"/>
  <c r="D79" i="26"/>
  <c r="L48" i="1"/>
  <c r="C52" i="26"/>
  <c r="C58" i="26"/>
  <c r="L51" i="22"/>
  <c r="L51" i="23"/>
  <c r="D65" i="26"/>
  <c r="D71" i="26"/>
  <c r="N50" i="23"/>
  <c r="N56" i="1"/>
  <c r="N50" i="22"/>
  <c r="C24" i="26"/>
  <c r="D92" i="26"/>
  <c r="B79" i="26"/>
  <c r="C65" i="26"/>
  <c r="C71" i="26"/>
  <c r="L50" i="23"/>
  <c r="L56" i="1"/>
  <c r="L50" i="22"/>
  <c r="D85" i="26"/>
  <c r="E79" i="26"/>
  <c r="N58" i="22"/>
  <c r="E80" i="26"/>
  <c r="E84" i="26"/>
  <c r="D97" i="26"/>
  <c r="E83" i="26"/>
  <c r="E82" i="26"/>
  <c r="E81" i="26"/>
  <c r="L58" i="22"/>
  <c r="B85" i="26"/>
  <c r="C81" i="26"/>
  <c r="B97" i="26"/>
  <c r="C82" i="26"/>
  <c r="C83" i="26"/>
  <c r="C84" i="26"/>
  <c r="C80" i="26"/>
  <c r="C79" i="26"/>
  <c r="N11" i="1"/>
  <c r="G12" i="2"/>
  <c r="N13" i="23"/>
  <c r="N13" i="22"/>
  <c r="N4" i="1"/>
  <c r="D7" i="26"/>
  <c r="N44" i="1"/>
  <c r="N6" i="22"/>
  <c r="N6" i="23"/>
  <c r="D37" i="26"/>
  <c r="D94" i="26"/>
  <c r="N46" i="22"/>
  <c r="D29" i="26"/>
  <c r="N46" i="23"/>
  <c r="D44" i="26"/>
  <c r="D96" i="26"/>
  <c r="N46" i="1"/>
  <c r="O20" i="1"/>
  <c r="D22" i="26"/>
  <c r="D14" i="26"/>
  <c r="D15" i="26"/>
  <c r="D45" i="26"/>
  <c r="E37" i="26"/>
  <c r="D98" i="26"/>
  <c r="O22" i="1"/>
  <c r="O18" i="1"/>
  <c r="O14" i="1"/>
  <c r="D30" i="26"/>
  <c r="O51" i="1"/>
  <c r="O25" i="1"/>
  <c r="O27" i="1"/>
  <c r="O11" i="1"/>
  <c r="O37" i="1"/>
  <c r="O29" i="1"/>
  <c r="O49" i="1"/>
  <c r="O42" i="1"/>
  <c r="O17" i="1"/>
  <c r="O34" i="1"/>
  <c r="O21" i="1"/>
  <c r="O31" i="1"/>
  <c r="O10" i="1"/>
  <c r="O39" i="1"/>
  <c r="O16" i="1"/>
  <c r="O54" i="1"/>
  <c r="O19" i="1"/>
  <c r="O5" i="1"/>
  <c r="O30" i="1"/>
  <c r="O48" i="1"/>
  <c r="O35" i="1"/>
  <c r="O7" i="1"/>
  <c r="O6" i="1"/>
  <c r="O28" i="1"/>
  <c r="O23" i="1"/>
  <c r="O26" i="1"/>
  <c r="O24" i="1"/>
  <c r="H7" i="7"/>
  <c r="O6" i="23"/>
  <c r="O32" i="1"/>
  <c r="O9" i="1"/>
  <c r="O52" i="1"/>
  <c r="O53" i="1"/>
  <c r="O40" i="1"/>
  <c r="O36" i="1"/>
  <c r="O41" i="1"/>
  <c r="O15" i="1"/>
  <c r="O33" i="1"/>
  <c r="O8" i="1"/>
  <c r="O12" i="1"/>
  <c r="O4" i="1"/>
  <c r="N48" i="22"/>
  <c r="O31" i="22"/>
  <c r="O38" i="1"/>
  <c r="O50" i="1"/>
  <c r="O13" i="1"/>
  <c r="I64" i="2"/>
  <c r="I67" i="2"/>
  <c r="H10" i="2"/>
  <c r="P11" i="1"/>
  <c r="E27" i="26"/>
  <c r="P37" i="23"/>
  <c r="F42" i="26"/>
  <c r="F92" i="26"/>
  <c r="E12" i="26"/>
  <c r="H4" i="11"/>
  <c r="P49" i="1"/>
  <c r="E38" i="26"/>
  <c r="E39" i="26"/>
  <c r="E42" i="26"/>
  <c r="E40" i="26"/>
  <c r="E44" i="26"/>
  <c r="E41" i="26"/>
  <c r="E43" i="26"/>
  <c r="E97" i="26"/>
  <c r="E95" i="26"/>
  <c r="E96" i="26"/>
  <c r="E92" i="26"/>
  <c r="E93" i="26"/>
  <c r="E94" i="26"/>
  <c r="O26" i="23"/>
  <c r="O7" i="23"/>
  <c r="O52" i="23"/>
  <c r="O27" i="23"/>
  <c r="O33" i="23"/>
  <c r="O48" i="23"/>
  <c r="O17" i="23"/>
  <c r="O18" i="23"/>
  <c r="O51" i="23"/>
  <c r="O36" i="23"/>
  <c r="O24" i="23"/>
  <c r="O8" i="23"/>
  <c r="O13" i="23"/>
  <c r="O38" i="23"/>
  <c r="O43" i="23"/>
  <c r="O29" i="23"/>
  <c r="O45" i="23"/>
  <c r="O53" i="23"/>
  <c r="O9" i="23"/>
  <c r="O17" i="22"/>
  <c r="O28" i="23"/>
  <c r="O50" i="23"/>
  <c r="O14" i="22"/>
  <c r="O20" i="22"/>
  <c r="O55" i="22"/>
  <c r="O15" i="23"/>
  <c r="O14" i="23"/>
  <c r="O9" i="22"/>
  <c r="O29" i="22"/>
  <c r="O41" i="22"/>
  <c r="O15" i="22"/>
  <c r="O8" i="22"/>
  <c r="O12" i="22"/>
  <c r="O54" i="22"/>
  <c r="O10" i="22"/>
  <c r="O28" i="22"/>
  <c r="O23" i="22"/>
  <c r="O37" i="22"/>
  <c r="O32" i="22"/>
  <c r="O33" i="22"/>
  <c r="O38" i="22"/>
  <c r="O18" i="22"/>
  <c r="O19" i="22"/>
  <c r="O40" i="22"/>
  <c r="O52" i="22"/>
  <c r="O48" i="22"/>
  <c r="O34" i="22"/>
  <c r="O53" i="22"/>
  <c r="O44" i="22"/>
  <c r="O13" i="22"/>
  <c r="O36" i="22"/>
  <c r="O25" i="22"/>
  <c r="O51" i="22"/>
  <c r="O35" i="22"/>
  <c r="O24" i="22"/>
  <c r="O45" i="22"/>
  <c r="O21" i="22"/>
  <c r="O42" i="22"/>
  <c r="O30" i="22"/>
  <c r="O22" i="22"/>
  <c r="O27" i="22"/>
  <c r="O43" i="1"/>
  <c r="O46" i="1"/>
  <c r="O50" i="22"/>
  <c r="O16" i="22"/>
  <c r="O43" i="22"/>
  <c r="O39" i="22"/>
  <c r="O56" i="22"/>
  <c r="O6" i="22"/>
  <c r="O11" i="22"/>
  <c r="O26" i="22"/>
  <c r="O46" i="22"/>
  <c r="O7" i="22"/>
  <c r="O54" i="23"/>
  <c r="O16" i="23"/>
  <c r="O55" i="23"/>
  <c r="O34" i="23"/>
  <c r="O12" i="23"/>
  <c r="O30" i="23"/>
  <c r="O22" i="23"/>
  <c r="O32" i="23"/>
  <c r="O21" i="23"/>
  <c r="O44" i="23"/>
  <c r="O35" i="23"/>
  <c r="O11" i="23"/>
  <c r="O19" i="23"/>
  <c r="O31" i="23"/>
  <c r="O39" i="23"/>
  <c r="O40" i="23"/>
  <c r="O42" i="23"/>
  <c r="O10" i="23"/>
  <c r="O56" i="23"/>
  <c r="O37" i="23"/>
  <c r="O23" i="23"/>
  <c r="O25" i="23"/>
  <c r="O20" i="23"/>
  <c r="O41" i="23"/>
  <c r="O56" i="1"/>
  <c r="O44" i="1"/>
  <c r="O46" i="23"/>
  <c r="P48" i="1"/>
  <c r="P51" i="23"/>
  <c r="F79" i="26"/>
  <c r="F85" i="26"/>
  <c r="E52" i="26"/>
  <c r="E58" i="26"/>
  <c r="E65" i="26"/>
  <c r="E71" i="26"/>
  <c r="P13" i="23"/>
  <c r="P4" i="1"/>
  <c r="O58" i="23"/>
  <c r="O58" i="22"/>
  <c r="P44" i="1"/>
  <c r="P6" i="23"/>
  <c r="F37" i="26"/>
  <c r="E7" i="26"/>
  <c r="G79" i="26"/>
  <c r="G84" i="26"/>
  <c r="F97" i="26"/>
  <c r="G81" i="26"/>
  <c r="G80" i="26"/>
  <c r="G83" i="26"/>
  <c r="G82" i="26"/>
  <c r="P50" i="22"/>
  <c r="P56" i="1"/>
  <c r="P50" i="23"/>
  <c r="P58" i="22"/>
  <c r="E22" i="26"/>
  <c r="F94" i="26"/>
  <c r="P46" i="1"/>
  <c r="P46" i="23"/>
  <c r="E14" i="26"/>
  <c r="E15" i="26"/>
  <c r="F44" i="26"/>
  <c r="Q21" i="1"/>
  <c r="Q51" i="1"/>
  <c r="Q12" i="1"/>
  <c r="Q22" i="1"/>
  <c r="Q24" i="1"/>
  <c r="Q11" i="1"/>
  <c r="Q16" i="1"/>
  <c r="Q26" i="1"/>
  <c r="Q19" i="1"/>
  <c r="Q33" i="1"/>
  <c r="Q17" i="1"/>
  <c r="Q50" i="1"/>
  <c r="Q29" i="1"/>
  <c r="Q8" i="1"/>
  <c r="Q39" i="1"/>
  <c r="Q5" i="1"/>
  <c r="Q23" i="1"/>
  <c r="Q37" i="1"/>
  <c r="Q31" i="1"/>
  <c r="Q6" i="1"/>
  <c r="Q52" i="1"/>
  <c r="Q46" i="22"/>
  <c r="Q28" i="1"/>
  <c r="Q41" i="1"/>
  <c r="Q30" i="1"/>
  <c r="Q20" i="1"/>
  <c r="Q13" i="1"/>
  <c r="Q53" i="1"/>
  <c r="Q32" i="1"/>
  <c r="Q25" i="1"/>
  <c r="Q18" i="1"/>
  <c r="Q27" i="1"/>
  <c r="Q9" i="1"/>
  <c r="Q7" i="1"/>
  <c r="Q49" i="1"/>
  <c r="Q54" i="1"/>
  <c r="Q34" i="1"/>
  <c r="Q36" i="1"/>
  <c r="Q42" i="1"/>
  <c r="Q15" i="1"/>
  <c r="Q38" i="1"/>
  <c r="Q10" i="1"/>
  <c r="Q14" i="1"/>
  <c r="Q35" i="1"/>
  <c r="Q40" i="1"/>
  <c r="Q4" i="1"/>
  <c r="Q48" i="1"/>
  <c r="E29" i="26"/>
  <c r="E30" i="26"/>
  <c r="Q56" i="1"/>
  <c r="Q44" i="1"/>
  <c r="Q43" i="1"/>
  <c r="Q46" i="1"/>
  <c r="Q21" i="22"/>
  <c r="Q45" i="22"/>
  <c r="Q19" i="22"/>
  <c r="Q29" i="22"/>
  <c r="Q40" i="22"/>
  <c r="Q55" i="22"/>
  <c r="Q42" i="22"/>
  <c r="Q31" i="22"/>
  <c r="Q9" i="22"/>
  <c r="Q53" i="22"/>
  <c r="Q41" i="22"/>
  <c r="Q27" i="22"/>
  <c r="Q44" i="22"/>
  <c r="Q12" i="22"/>
  <c r="Q11" i="22"/>
  <c r="Q54" i="22"/>
  <c r="Q22" i="22"/>
  <c r="Q18" i="22"/>
  <c r="Q16" i="22"/>
  <c r="Q34" i="22"/>
  <c r="Q36" i="22"/>
  <c r="Q14" i="22"/>
  <c r="Q7" i="22"/>
  <c r="Q17" i="22"/>
  <c r="Q52" i="22"/>
  <c r="Q37" i="22"/>
  <c r="Q32" i="22"/>
  <c r="Q10" i="22"/>
  <c r="Q39" i="22"/>
  <c r="Q30" i="22"/>
  <c r="Q25" i="22"/>
  <c r="Q24" i="22"/>
  <c r="Q28" i="22"/>
  <c r="Q33" i="22"/>
  <c r="Q38" i="22"/>
  <c r="Q13" i="22"/>
  <c r="Q26" i="22"/>
  <c r="Q56" i="22"/>
  <c r="Q20" i="22"/>
  <c r="Q35" i="22"/>
  <c r="Q43" i="22"/>
  <c r="Q8" i="22"/>
  <c r="Q15" i="22"/>
  <c r="Q23" i="22"/>
  <c r="Q48" i="22"/>
  <c r="Q51" i="22"/>
  <c r="Q6" i="22"/>
  <c r="Q50" i="22"/>
  <c r="Q6" i="23"/>
  <c r="Q37" i="23"/>
  <c r="Q22" i="23"/>
  <c r="Q35" i="23"/>
  <c r="Q54" i="23"/>
  <c r="Q17" i="23"/>
  <c r="Q15" i="23"/>
  <c r="Q11" i="23"/>
  <c r="Q31" i="23"/>
  <c r="Q32" i="23"/>
  <c r="Q9" i="23"/>
  <c r="Q42" i="23"/>
  <c r="Q40" i="23"/>
  <c r="Q33" i="23"/>
  <c r="Q44" i="23"/>
  <c r="Q20" i="23"/>
  <c r="Q56" i="23"/>
  <c r="Q48" i="23"/>
  <c r="Q14" i="23"/>
  <c r="Q29" i="23"/>
  <c r="Q34" i="23"/>
  <c r="Q27" i="23"/>
  <c r="Q52" i="23"/>
  <c r="Q28" i="23"/>
  <c r="Q8" i="23"/>
  <c r="Q10" i="23"/>
  <c r="Q25" i="23"/>
  <c r="Q16" i="23"/>
  <c r="Q36" i="23"/>
  <c r="Q39" i="23"/>
  <c r="Q43" i="23"/>
  <c r="Q45" i="23"/>
  <c r="Q41" i="23"/>
  <c r="Q55" i="23"/>
  <c r="Q19" i="23"/>
  <c r="Q23" i="23"/>
  <c r="Q53" i="23"/>
  <c r="Q38" i="23"/>
  <c r="Q18" i="23"/>
  <c r="Q51" i="23"/>
  <c r="Q21" i="23"/>
  <c r="Q12" i="23"/>
  <c r="Q7" i="23"/>
  <c r="Q13" i="23"/>
  <c r="Q30" i="23"/>
  <c r="Q24" i="23"/>
  <c r="Q26" i="23"/>
  <c r="Q50" i="23"/>
  <c r="Q46" i="23"/>
  <c r="F96" i="26"/>
  <c r="F45" i="26"/>
  <c r="Q58" i="22"/>
  <c r="F98" i="26"/>
  <c r="G37" i="26"/>
  <c r="G42" i="26"/>
  <c r="G39" i="26"/>
  <c r="G43" i="26"/>
  <c r="G38" i="26"/>
  <c r="G40" i="26"/>
  <c r="G41" i="26"/>
  <c r="Q58" i="23"/>
  <c r="G44" i="26"/>
  <c r="G94" i="26"/>
  <c r="G92" i="26"/>
  <c r="G97" i="26"/>
  <c r="G93" i="26"/>
  <c r="G95" i="26"/>
  <c r="G96" i="26"/>
  <c r="H25" i="18"/>
  <c r="I25" i="18"/>
  <c r="F12" i="18"/>
  <c r="F13" i="18"/>
  <c r="H12" i="18"/>
  <c r="H13" i="18"/>
  <c r="I12" i="18"/>
  <c r="I13" i="18"/>
  <c r="G12" i="18"/>
  <c r="G13" i="18"/>
  <c r="F10" i="2"/>
  <c r="B12" i="26"/>
  <c r="J37" i="22"/>
  <c r="B27" i="26"/>
  <c r="J37" i="23"/>
  <c r="F64" i="2"/>
  <c r="F67" i="2"/>
  <c r="E10" i="2"/>
  <c r="E4" i="11"/>
  <c r="J49" i="1"/>
  <c r="F12" i="2"/>
  <c r="L11" i="1"/>
  <c r="E12" i="2"/>
  <c r="J11" i="1"/>
  <c r="J51" i="23"/>
  <c r="J48" i="1"/>
  <c r="B52" i="26"/>
  <c r="B58" i="26"/>
  <c r="J51" i="22"/>
  <c r="L13" i="22"/>
  <c r="L4" i="1"/>
  <c r="L13" i="23"/>
  <c r="J13" i="22"/>
  <c r="J13" i="23"/>
  <c r="J4" i="1"/>
  <c r="B65" i="26"/>
  <c r="B71" i="26"/>
  <c r="J50" i="23"/>
  <c r="J50" i="22"/>
  <c r="J56" i="1"/>
  <c r="L44" i="1"/>
  <c r="L6" i="23"/>
  <c r="C7" i="26"/>
  <c r="L6" i="22"/>
  <c r="J58" i="22"/>
  <c r="J6" i="22"/>
  <c r="J6" i="23"/>
  <c r="J44" i="1"/>
  <c r="B7" i="26"/>
  <c r="B37" i="26"/>
  <c r="L46" i="23"/>
  <c r="L46" i="1"/>
  <c r="C14" i="26"/>
  <c r="C15" i="26"/>
  <c r="L46" i="22"/>
  <c r="C22" i="26"/>
  <c r="B22" i="26"/>
  <c r="J46" i="23"/>
  <c r="J46" i="22"/>
  <c r="J46" i="1"/>
  <c r="B14" i="26"/>
  <c r="B15" i="26"/>
  <c r="B44" i="26"/>
  <c r="B45" i="26"/>
  <c r="C29" i="26"/>
  <c r="C30" i="26"/>
  <c r="B94" i="26"/>
  <c r="M42" i="1"/>
  <c r="M51" i="1"/>
  <c r="M9" i="1"/>
  <c r="M27" i="1"/>
  <c r="M25" i="1"/>
  <c r="M8" i="1"/>
  <c r="M19" i="1"/>
  <c r="M10" i="1"/>
  <c r="M41" i="1"/>
  <c r="M33" i="1"/>
  <c r="M30" i="1"/>
  <c r="M36" i="1"/>
  <c r="M5" i="1"/>
  <c r="M21" i="1"/>
  <c r="M16" i="1"/>
  <c r="M17" i="1"/>
  <c r="M26" i="1"/>
  <c r="M15" i="1"/>
  <c r="M7" i="1"/>
  <c r="M37" i="1"/>
  <c r="M53" i="1"/>
  <c r="M29" i="1"/>
  <c r="M18" i="1"/>
  <c r="M24" i="1"/>
  <c r="M28" i="1"/>
  <c r="M40" i="1"/>
  <c r="M14" i="1"/>
  <c r="M38" i="1"/>
  <c r="M35" i="1"/>
  <c r="M39" i="1"/>
  <c r="M49" i="1"/>
  <c r="M20" i="1"/>
  <c r="L48" i="22"/>
  <c r="M50" i="1"/>
  <c r="M52" i="1"/>
  <c r="M12" i="1"/>
  <c r="M31" i="1"/>
  <c r="M6" i="1"/>
  <c r="M48" i="1"/>
  <c r="M34" i="1"/>
  <c r="M13" i="1"/>
  <c r="M46" i="23"/>
  <c r="M22" i="1"/>
  <c r="M23" i="1"/>
  <c r="M54" i="1"/>
  <c r="M32" i="1"/>
  <c r="M11" i="1"/>
  <c r="M4" i="1"/>
  <c r="K18" i="1"/>
  <c r="K31" i="1"/>
  <c r="K9" i="1"/>
  <c r="K27" i="1"/>
  <c r="K51" i="1"/>
  <c r="K25" i="1"/>
  <c r="K14" i="1"/>
  <c r="K54" i="1"/>
  <c r="K20" i="1"/>
  <c r="K22" i="1"/>
  <c r="J48" i="22"/>
  <c r="K46" i="22"/>
  <c r="K46" i="23"/>
  <c r="K36" i="1"/>
  <c r="K41" i="1"/>
  <c r="K23" i="1"/>
  <c r="K29" i="1"/>
  <c r="K21" i="1"/>
  <c r="K52" i="1"/>
  <c r="K24" i="1"/>
  <c r="K32" i="1"/>
  <c r="K8" i="1"/>
  <c r="K19" i="1"/>
  <c r="K15" i="1"/>
  <c r="K12" i="1"/>
  <c r="K16" i="1"/>
  <c r="K26" i="1"/>
  <c r="K17" i="1"/>
  <c r="K6" i="1"/>
  <c r="K53" i="1"/>
  <c r="K5" i="1"/>
  <c r="K39" i="1"/>
  <c r="K35" i="1"/>
  <c r="K30" i="1"/>
  <c r="K37" i="1"/>
  <c r="K13" i="1"/>
  <c r="K40" i="1"/>
  <c r="K50" i="1"/>
  <c r="K28" i="1"/>
  <c r="K7" i="1"/>
  <c r="K10" i="1"/>
  <c r="K34" i="1"/>
  <c r="K42" i="1"/>
  <c r="K38" i="1"/>
  <c r="K33" i="1"/>
  <c r="K49" i="1"/>
  <c r="K11" i="1"/>
  <c r="K48" i="1"/>
  <c r="K4" i="1"/>
  <c r="B29" i="26"/>
  <c r="B30" i="26"/>
  <c r="C37" i="26"/>
  <c r="C43" i="26"/>
  <c r="C41" i="26"/>
  <c r="C40" i="26"/>
  <c r="C39" i="26"/>
  <c r="C38" i="26"/>
  <c r="C42" i="26"/>
  <c r="M44" i="1"/>
  <c r="H12" i="2"/>
  <c r="M43" i="1"/>
  <c r="M46" i="1"/>
  <c r="B96" i="26"/>
  <c r="B98" i="26"/>
  <c r="C44" i="26"/>
  <c r="M41" i="22"/>
  <c r="M43" i="22"/>
  <c r="M18" i="22"/>
  <c r="M14" i="22"/>
  <c r="M42" i="22"/>
  <c r="M9" i="22"/>
  <c r="M19" i="22"/>
  <c r="M28" i="22"/>
  <c r="M34" i="22"/>
  <c r="M8" i="22"/>
  <c r="M26" i="22"/>
  <c r="M23" i="22"/>
  <c r="M36" i="22"/>
  <c r="M50" i="22"/>
  <c r="M16" i="22"/>
  <c r="M54" i="22"/>
  <c r="M17" i="22"/>
  <c r="M33" i="22"/>
  <c r="M21" i="22"/>
  <c r="M20" i="22"/>
  <c r="M11" i="22"/>
  <c r="M40" i="22"/>
  <c r="M53" i="22"/>
  <c r="M39" i="22"/>
  <c r="M12" i="22"/>
  <c r="M35" i="22"/>
  <c r="M37" i="22"/>
  <c r="M24" i="22"/>
  <c r="M56" i="22"/>
  <c r="M45" i="22"/>
  <c r="M10" i="22"/>
  <c r="M32" i="22"/>
  <c r="M51" i="22"/>
  <c r="M15" i="22"/>
  <c r="M25" i="22"/>
  <c r="M55" i="22"/>
  <c r="M27" i="22"/>
  <c r="M31" i="22"/>
  <c r="M44" i="22"/>
  <c r="M29" i="22"/>
  <c r="M48" i="22"/>
  <c r="M38" i="22"/>
  <c r="M30" i="22"/>
  <c r="M7" i="22"/>
  <c r="M52" i="22"/>
  <c r="M22" i="22"/>
  <c r="M13" i="22"/>
  <c r="M6" i="22"/>
  <c r="M56" i="1"/>
  <c r="M21" i="23"/>
  <c r="M28" i="23"/>
  <c r="M19" i="23"/>
  <c r="M48" i="23"/>
  <c r="M11" i="23"/>
  <c r="M37" i="23"/>
  <c r="M52" i="23"/>
  <c r="M51" i="23"/>
  <c r="M17" i="23"/>
  <c r="M33" i="23"/>
  <c r="M20" i="23"/>
  <c r="M36" i="23"/>
  <c r="M10" i="23"/>
  <c r="M29" i="23"/>
  <c r="M56" i="23"/>
  <c r="M14" i="23"/>
  <c r="M35" i="23"/>
  <c r="M45" i="23"/>
  <c r="M9" i="23"/>
  <c r="M40" i="23"/>
  <c r="M26" i="23"/>
  <c r="M16" i="23"/>
  <c r="M12" i="23"/>
  <c r="M39" i="23"/>
  <c r="M53" i="23"/>
  <c r="M50" i="23"/>
  <c r="M32" i="23"/>
  <c r="M18" i="23"/>
  <c r="M27" i="23"/>
  <c r="M15" i="23"/>
  <c r="M22" i="23"/>
  <c r="M7" i="23"/>
  <c r="M24" i="23"/>
  <c r="M54" i="23"/>
  <c r="M38" i="23"/>
  <c r="M41" i="23"/>
  <c r="M34" i="23"/>
  <c r="M8" i="23"/>
  <c r="M44" i="23"/>
  <c r="M55" i="23"/>
  <c r="M43" i="23"/>
  <c r="M23" i="23"/>
  <c r="M31" i="23"/>
  <c r="M25" i="23"/>
  <c r="M30" i="23"/>
  <c r="M42" i="23"/>
  <c r="M13" i="23"/>
  <c r="M6" i="23"/>
  <c r="M46" i="22"/>
  <c r="K56" i="1"/>
  <c r="K25" i="22"/>
  <c r="K41" i="22"/>
  <c r="K45" i="22"/>
  <c r="K40" i="22"/>
  <c r="K33" i="22"/>
  <c r="K43" i="22"/>
  <c r="K16" i="22"/>
  <c r="K32" i="22"/>
  <c r="K26" i="22"/>
  <c r="K29" i="22"/>
  <c r="K48" i="22"/>
  <c r="K19" i="22"/>
  <c r="K42" i="22"/>
  <c r="K35" i="22"/>
  <c r="K53" i="22"/>
  <c r="K55" i="22"/>
  <c r="K30" i="22"/>
  <c r="K38" i="22"/>
  <c r="K44" i="22"/>
  <c r="K14" i="22"/>
  <c r="K20" i="22"/>
  <c r="K15" i="22"/>
  <c r="K23" i="22"/>
  <c r="K31" i="22"/>
  <c r="K24" i="22"/>
  <c r="K10" i="22"/>
  <c r="K27" i="22"/>
  <c r="K22" i="22"/>
  <c r="K54" i="22"/>
  <c r="K9" i="22"/>
  <c r="K28" i="22"/>
  <c r="K12" i="22"/>
  <c r="K17" i="22"/>
  <c r="K56" i="22"/>
  <c r="K11" i="22"/>
  <c r="K52" i="22"/>
  <c r="K39" i="22"/>
  <c r="K18" i="22"/>
  <c r="K36" i="22"/>
  <c r="K34" i="22"/>
  <c r="K21" i="22"/>
  <c r="K8" i="22"/>
  <c r="K7" i="22"/>
  <c r="K37" i="22"/>
  <c r="K51" i="22"/>
  <c r="K13" i="22"/>
  <c r="K50" i="22"/>
  <c r="K6" i="22"/>
  <c r="K43" i="1"/>
  <c r="K46" i="1"/>
  <c r="K44" i="1"/>
  <c r="K7" i="23"/>
  <c r="K42" i="23"/>
  <c r="K27" i="23"/>
  <c r="K28" i="23"/>
  <c r="K32" i="23"/>
  <c r="K33" i="23"/>
  <c r="K10" i="23"/>
  <c r="K34" i="23"/>
  <c r="K38" i="23"/>
  <c r="K39" i="23"/>
  <c r="K48" i="23"/>
  <c r="K20" i="23"/>
  <c r="K8" i="23"/>
  <c r="K30" i="23"/>
  <c r="K36" i="23"/>
  <c r="K56" i="23"/>
  <c r="K55" i="23"/>
  <c r="K25" i="23"/>
  <c r="K14" i="23"/>
  <c r="K23" i="23"/>
  <c r="K21" i="23"/>
  <c r="K43" i="23"/>
  <c r="K31" i="23"/>
  <c r="K22" i="23"/>
  <c r="K24" i="23"/>
  <c r="K53" i="23"/>
  <c r="K11" i="23"/>
  <c r="K54" i="23"/>
  <c r="K52" i="23"/>
  <c r="K44" i="23"/>
  <c r="K12" i="23"/>
  <c r="K9" i="23"/>
  <c r="K41" i="23"/>
  <c r="K35" i="23"/>
  <c r="K29" i="23"/>
  <c r="K15" i="23"/>
  <c r="K40" i="23"/>
  <c r="K19" i="23"/>
  <c r="K26" i="23"/>
  <c r="K18" i="23"/>
  <c r="K17" i="23"/>
  <c r="K16" i="23"/>
  <c r="K45" i="23"/>
  <c r="K37" i="23"/>
  <c r="K51" i="23"/>
  <c r="K13" i="23"/>
  <c r="K50" i="23"/>
  <c r="K6" i="23"/>
  <c r="C96" i="26"/>
  <c r="C94" i="26"/>
  <c r="C95" i="26"/>
  <c r="C92" i="26"/>
  <c r="C93" i="26"/>
  <c r="C97" i="26"/>
  <c r="M58" i="23"/>
  <c r="M58" i="22"/>
  <c r="K58" i="23"/>
  <c r="K58" i="22"/>
</calcChain>
</file>

<file path=xl/sharedStrings.xml><?xml version="1.0" encoding="utf-8"?>
<sst xmlns="http://schemas.openxmlformats.org/spreadsheetml/2006/main" count="2216" uniqueCount="1349">
  <si>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</si>
  <si>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</si>
  <si>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</si>
  <si>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</si>
  <si>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</si>
  <si>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</si>
  <si>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</si>
  <si>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</si>
  <si>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</si>
  <si>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</si>
  <si>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</si>
  <si>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</si>
  <si>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</si>
  <si>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1.2.3</t>
  </si>
  <si>
    <t>Dockside Improvements</t>
  </si>
  <si>
    <t>1.2.4</t>
  </si>
  <si>
    <t>1.2.5</t>
  </si>
  <si>
    <t>Other</t>
  </si>
  <si>
    <t>Mooring/Foundation</t>
  </si>
  <si>
    <t>1.3.1</t>
  </si>
  <si>
    <t>Mooring lines/chain</t>
  </si>
  <si>
    <t>1.3.2</t>
  </si>
  <si>
    <t>Anchors</t>
  </si>
  <si>
    <t>1.3.3</t>
  </si>
  <si>
    <t>1.3.4</t>
  </si>
  <si>
    <t>Connecting Hardware (shackles etc.)</t>
  </si>
  <si>
    <t>1.3.5</t>
  </si>
  <si>
    <t>Device Structural Components</t>
  </si>
  <si>
    <t>1.4.1</t>
  </si>
  <si>
    <t>1.4.2</t>
  </si>
  <si>
    <t>1.4.4</t>
  </si>
  <si>
    <t>Power Take Off</t>
  </si>
  <si>
    <t>1.5.1</t>
  </si>
  <si>
    <t>Generator</t>
  </si>
  <si>
    <t>1.5.2</t>
  </si>
  <si>
    <t>1.5.3</t>
  </si>
  <si>
    <t>1.5.4</t>
  </si>
  <si>
    <t>Hydraulic System</t>
  </si>
  <si>
    <t>Frequency Converter</t>
  </si>
  <si>
    <t>1.5.5</t>
  </si>
  <si>
    <t>Step-up Transformer</t>
  </si>
  <si>
    <t>1.5.6</t>
  </si>
  <si>
    <t>Riser Cable</t>
  </si>
  <si>
    <t>1.5.7</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</si>
  <si>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</si>
  <si>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</si>
  <si>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</si>
  <si>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</si>
  <si>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</si>
  <si>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</si>
  <si>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</si>
  <si>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</si>
  <si>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</si>
  <si>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</si>
  <si>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</si>
  <si>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</si>
  <si>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</si>
  <si>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Device Access (Railings, Ladders, etc)</t>
  </si>
  <si>
    <t>Assembly, Testing &amp; QA</t>
  </si>
  <si>
    <t>Units</t>
  </si>
  <si>
    <t>Mooring/Foundation System</t>
  </si>
  <si>
    <t>Subsystem Integration &amp; Profit Margin</t>
  </si>
  <si>
    <t>1.7.1</t>
  </si>
  <si>
    <t>1.7.2</t>
  </si>
  <si>
    <t>1.7.3</t>
  </si>
  <si>
    <t>1.7.4</t>
  </si>
  <si>
    <t>1.7.5</t>
  </si>
  <si>
    <t>1.7.6</t>
  </si>
  <si>
    <t>Cost</t>
  </si>
  <si>
    <t>Total Cost</t>
  </si>
  <si>
    <t>Total</t>
  </si>
  <si>
    <t>Assumptions</t>
  </si>
  <si>
    <t>Sum</t>
  </si>
  <si>
    <t>1-Unit</t>
  </si>
  <si>
    <t>Subsystem Integration and Profit margins are difficult to estimate given the level of design of the reference model.  For consistency and to make it simple, this was assumed to be 10% of the machine cost.  This is probably low for single unit production scale</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</si>
  <si>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</si>
  <si>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</si>
  <si>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</si>
  <si>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</si>
  <si>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</si>
  <si>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</si>
  <si>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</si>
  <si>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</si>
  <si>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</si>
  <si>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</si>
  <si>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Comments/Notes</t>
  </si>
  <si>
    <t>1 Unit</t>
  </si>
  <si>
    <t>Totals</t>
  </si>
  <si>
    <t>Development</t>
  </si>
  <si>
    <t>1.1.1.1</t>
  </si>
  <si>
    <t>1.1.1.2</t>
  </si>
  <si>
    <t>1.1.1.3</t>
  </si>
  <si>
    <t>1.1.1.4</t>
  </si>
  <si>
    <t>Site Assessment</t>
  </si>
  <si>
    <t>Design &amp; Engineering</t>
  </si>
  <si>
    <t>10-Units</t>
  </si>
  <si>
    <t>100-Units</t>
  </si>
  <si>
    <t>50-Units</t>
  </si>
  <si>
    <t>Cost Summary</t>
  </si>
  <si>
    <t>Weight (tonnes)</t>
  </si>
  <si>
    <t>Mass</t>
  </si>
  <si>
    <t>Category</t>
  </si>
  <si>
    <t>Cost per unit</t>
  </si>
  <si>
    <t>Siting and Scoping</t>
  </si>
  <si>
    <t>Environmental Scoping</t>
  </si>
  <si>
    <t>Community Outreach</t>
  </si>
  <si>
    <t>Regulatory Outreach</t>
  </si>
  <si>
    <t>Fish and Invertebrates</t>
  </si>
  <si>
    <t>Habitat</t>
  </si>
  <si>
    <t>Cultural Resources</t>
  </si>
  <si>
    <t>Navigation</t>
  </si>
  <si>
    <t>Recreation</t>
  </si>
  <si>
    <t>Post-Install Capital</t>
  </si>
  <si>
    <t>NEPA Document Preparation</t>
  </si>
  <si>
    <t>Monitoring and Study Plans</t>
  </si>
  <si>
    <t>NEPA and Process</t>
  </si>
  <si>
    <t>m</t>
  </si>
  <si>
    <t>1.2.3 Dockside Improvements</t>
  </si>
  <si>
    <t>1.2.4 Dedicated O&amp;M Vessel</t>
  </si>
  <si>
    <t>1.3.1 Mooring Lines / Chain</t>
  </si>
  <si>
    <t>1.3.2 Anchors</t>
  </si>
  <si>
    <t>% of Structural</t>
  </si>
  <si>
    <t>PTO mounting</t>
  </si>
  <si>
    <t>kW</t>
  </si>
  <si>
    <t># Units</t>
  </si>
  <si>
    <t>Contingency</t>
  </si>
  <si>
    <t>Design and Engineering</t>
  </si>
  <si>
    <t>Decommissioning</t>
  </si>
  <si>
    <t>in%</t>
  </si>
  <si>
    <t>in %</t>
  </si>
  <si>
    <t>% of total assumpton</t>
  </si>
  <si>
    <t>Cost Estimating Notes</t>
  </si>
  <si>
    <t>Terminations and Connectors</t>
  </si>
  <si>
    <t>1.2.2 Terminations and Connectors</t>
  </si>
  <si>
    <t>tonnes</t>
  </si>
  <si>
    <t>1.6 Subsystem Integration and Profit Margin</t>
  </si>
  <si>
    <t>10% of Machine Cost</t>
  </si>
  <si>
    <t>Transmission Efficiency</t>
  </si>
  <si>
    <t>Annual Output</t>
  </si>
  <si>
    <t>Mirko Previsic</t>
  </si>
  <si>
    <t>Company</t>
  </si>
  <si>
    <t>Contact</t>
  </si>
  <si>
    <t>mirko@re-vision.net</t>
  </si>
  <si>
    <t>Created by</t>
  </si>
  <si>
    <t>Date</t>
  </si>
  <si>
    <t>Disclaimer</t>
  </si>
  <si>
    <t>Project Design, Engineering, and Management</t>
  </si>
  <si>
    <t>1.8 Decomissioning</t>
  </si>
  <si>
    <t>1.9 Contingency</t>
  </si>
  <si>
    <t>occurs at the end of the 20-year project life, having a minimal impact on the cost of electricty from this plant.  Decomissioning costs are not represented in the CoE assessment.</t>
  </si>
  <si>
    <t>MACRS Depreciation</t>
  </si>
  <si>
    <t>Construction Finance Rate</t>
  </si>
  <si>
    <t>Effective Tax Rate</t>
  </si>
  <si>
    <t>Technical Input Parameters</t>
  </si>
  <si>
    <t>Average Power Flux</t>
  </si>
  <si>
    <t>Energy Extraction</t>
  </si>
  <si>
    <t>Average Extracted Power</t>
  </si>
  <si>
    <t>Average Electric Power</t>
  </si>
  <si>
    <t>Rated Electric Power</t>
  </si>
  <si>
    <t xml:space="preserve">Machine Capacity Factor </t>
  </si>
  <si>
    <t>Array Parameters</t>
  </si>
  <si>
    <t># of US homes equivalent</t>
  </si>
  <si>
    <t>Array/Turbine Availability</t>
  </si>
  <si>
    <t>MWh/year</t>
  </si>
  <si>
    <t>Resource and Performance Outputs</t>
  </si>
  <si>
    <t>Site Resource Parameters</t>
  </si>
  <si>
    <t>Economic Parameters (Utility Generator Model)</t>
  </si>
  <si>
    <t>State Tax Rate</t>
  </si>
  <si>
    <t>Return on Equity</t>
  </si>
  <si>
    <t>Equity</t>
  </si>
  <si>
    <t>Debt</t>
  </si>
  <si>
    <t>Return on Debt</t>
  </si>
  <si>
    <t>Federal Tax Rate</t>
  </si>
  <si>
    <t>Plant Life (years)</t>
  </si>
  <si>
    <t>Year 1</t>
  </si>
  <si>
    <t>Year 2</t>
  </si>
  <si>
    <t>Year 3</t>
  </si>
  <si>
    <t>Year 4</t>
  </si>
  <si>
    <t>Year 5</t>
  </si>
  <si>
    <t>Year 6</t>
  </si>
  <si>
    <t>PVdepr</t>
  </si>
  <si>
    <t>Construction Cost Multiplier (CCMult)</t>
  </si>
  <si>
    <t>Weighted Average Cost of Capital (After tax)</t>
  </si>
  <si>
    <t>% Construction Spending during Year 0</t>
  </si>
  <si>
    <t>% Construction Spending during Year 1</t>
  </si>
  <si>
    <t>Annual Construction Multiplier - Year 1</t>
  </si>
  <si>
    <t>Annual Construction Multiplier - Year 2</t>
  </si>
  <si>
    <t>CCmult*CRF*(1-T*PVdepr)/(1-T)</t>
  </si>
  <si>
    <t xml:space="preserve">  1+(1-T)*[ (1+ (Construction Finance Rate))^(t+0.5) - 1 ]</t>
  </si>
  <si>
    <t>Capital Recovery Factor (WACC,Plant Life)</t>
  </si>
  <si>
    <t>Fixed Charge Rate</t>
  </si>
  <si>
    <t>Total Annual OPEX</t>
  </si>
  <si>
    <t>Plant Rated Capacity (kW)</t>
  </si>
  <si>
    <t>MWh/Year</t>
  </si>
  <si>
    <t xml:space="preserve">10% is used because that is what offshore wind has been using.    </t>
  </si>
  <si>
    <t>$/tonne</t>
  </si>
  <si>
    <t>10-100 Units</t>
  </si>
  <si>
    <t>Note: Inputs shown in green</t>
  </si>
  <si>
    <t>RE Vision Consulting, LLC</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</si>
  <si>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</si>
  <si>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</si>
  <si>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</si>
  <si>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</si>
  <si>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</si>
  <si>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</si>
  <si>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</si>
  <si>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</si>
  <si>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</si>
  <si>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</si>
  <si>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</si>
  <si>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</si>
  <si>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</si>
  <si>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</si>
  <si>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</si>
  <si>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</si>
  <si>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Data Sources</t>
  </si>
  <si>
    <t>PNNL - Detailed in Separate Document</t>
  </si>
  <si>
    <t>Cost Estimating Notes:</t>
  </si>
  <si>
    <t>RE Vision Assumption</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</si>
  <si>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</si>
  <si>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</si>
  <si>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</si>
  <si>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</si>
  <si>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</si>
  <si>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</si>
  <si>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50-100 Units</t>
  </si>
  <si>
    <t>Cost Estimating Notes for Commercial Scale (100-Units)</t>
  </si>
  <si>
    <t>Cost Estimating Notes - Single Unit Scale</t>
  </si>
  <si>
    <t>Incremental Cost for Farm Deployments</t>
  </si>
  <si>
    <t>Annualized Cost Breakdown</t>
  </si>
  <si>
    <t>Data directly taken from PNNL study</t>
  </si>
  <si>
    <t>PNNL - Described in Separate Report</t>
  </si>
  <si>
    <t>Survey</t>
  </si>
  <si>
    <t>In reality, a figure closer to 30% is probably more realistic at single unit scale.</t>
  </si>
  <si>
    <t>Cable Installation</t>
  </si>
  <si>
    <t>Mooring Installation</t>
  </si>
  <si>
    <t>Cable Landing</t>
  </si>
  <si>
    <t>Seabed Survey &amp; Mapping</t>
  </si>
  <si>
    <t>Marine Mammals</t>
  </si>
  <si>
    <t>Seabirds</t>
  </si>
  <si>
    <t>Turtles</t>
  </si>
  <si>
    <t>Water Quality</t>
  </si>
  <si>
    <t>Marine Mammals and Turtles</t>
  </si>
  <si>
    <t>Fish</t>
  </si>
  <si>
    <t>Benthos</t>
  </si>
  <si>
    <t>Acoustic Characterization Monitoring</t>
  </si>
  <si>
    <t xml:space="preserve">Resource Assessment </t>
  </si>
  <si>
    <t>Detailed Resource Assessment - Hydrodynamic modeling</t>
  </si>
  <si>
    <t>Ecosystem Effects Seabird</t>
  </si>
  <si>
    <t>Ecosystem Effects Marine Mammals &amp; Turtles</t>
  </si>
  <si>
    <t>Ecosystem Effects Fish</t>
  </si>
  <si>
    <t>1.2.1 Subsea Cables</t>
  </si>
  <si>
    <t>Cost Breakdown Structure for WEC Rated at 286 kW</t>
  </si>
  <si>
    <t>Cost Breakdown Structure for Wave Energy Device</t>
  </si>
  <si>
    <t>Power Conversion System Parameters</t>
  </si>
  <si>
    <t>PTO Efficiency</t>
  </si>
  <si>
    <t xml:space="preserve">kW/m </t>
  </si>
  <si>
    <t>Average Hs</t>
  </si>
  <si>
    <t>Average Te</t>
  </si>
  <si>
    <t>sec</t>
  </si>
  <si>
    <t>Rated Power</t>
  </si>
  <si>
    <t>Unconstrained Device Performance</t>
  </si>
  <si>
    <t>Constrained Device Performance</t>
  </si>
  <si>
    <t>Hs</t>
  </si>
  <si>
    <t>Te</t>
  </si>
  <si>
    <t>Wave Resource Power Flux</t>
  </si>
  <si>
    <t>Wave Resource Frequency Distribution (unnormalized)</t>
  </si>
  <si>
    <t>Determining Trunk-cable length, shore to first junction box</t>
  </si>
  <si>
    <t>Site Distance to shore</t>
  </si>
  <si>
    <t>Capacity</t>
  </si>
  <si>
    <t>Unit Capacity (kW)</t>
  </si>
  <si>
    <t>#</t>
  </si>
  <si>
    <t>Plant Capacity (MW)</t>
  </si>
  <si>
    <t>Target Cable Capacity incl. 20% contingency (MW)</t>
  </si>
  <si>
    <t>Contingency Cable Length incl. 20% Contingency (m)</t>
  </si>
  <si>
    <t>Array Cable</t>
  </si>
  <si>
    <t xml:space="preserve">Per Device Cable Length </t>
  </si>
  <si>
    <t>Total Cable Length</t>
  </si>
  <si>
    <t>Subsea Cable Cost</t>
  </si>
  <si>
    <t>Trunck Cable</t>
  </si>
  <si>
    <t>Inter-Device Cable Length</t>
  </si>
  <si>
    <t>Trunk Cable Cost ($/m)</t>
  </si>
  <si>
    <t>Inter-Device Cable</t>
  </si>
  <si>
    <t>10% of Subsea Cable Cost</t>
  </si>
  <si>
    <t>None</t>
  </si>
  <si>
    <t>Rough Estimates were used for subsea cable cost</t>
  </si>
  <si>
    <t>Wire Rope to Sub-Sea Buoys</t>
  </si>
  <si>
    <t>Sub-Sea Buoys (55kN net buoyancy)</t>
  </si>
  <si>
    <t>Nylon Line 5.75"</t>
  </si>
  <si>
    <t>Chain 3.5 inch, 90 foot shot</t>
  </si>
  <si>
    <t>Anchor Joining Link</t>
  </si>
  <si>
    <t>Chain joining link</t>
  </si>
  <si>
    <t>Sinker (10-tonnes)</t>
  </si>
  <si>
    <t>Shackles</t>
  </si>
  <si>
    <t>Anchor - Bruce Mk-4, 9-tonne</t>
  </si>
  <si>
    <t>Based on Preliminary Mooring Design</t>
  </si>
  <si>
    <t>RE Vision</t>
  </si>
  <si>
    <t>Subsea Cable</t>
  </si>
  <si>
    <t>Mooring Components</t>
  </si>
  <si>
    <t>Notes:</t>
  </si>
  <si>
    <t xml:space="preserve"> - Cost from previous projects in the Pacific Northwest</t>
  </si>
  <si>
    <t xml:space="preserve"> - Drilling Distance: 500m</t>
  </si>
  <si>
    <t xml:space="preserve"> - 1 Unit would require an 8" conduit</t>
  </si>
  <si>
    <t xml:space="preserve"> - 10 Units would require 10" Conduit</t>
  </si>
  <si>
    <t xml:space="preserve"> - Jettable Material &lt; 7,500 psi </t>
  </si>
  <si>
    <t>Total HDD Activities</t>
  </si>
  <si>
    <t xml:space="preserve"> - 100 Units would require 2 x 10" conduit</t>
  </si>
  <si>
    <r>
      <t xml:space="preserve"> - </t>
    </r>
    <r>
      <rPr>
        <sz val="11"/>
        <rFont val="Calibri"/>
        <family val="2"/>
        <scheme val="minor"/>
      </rPr>
      <t>Deck space = 5100 ft^2 =&gt; 2-3 moorings can be loaded</t>
    </r>
  </si>
  <si>
    <t xml:space="preserve"> - 50 Units would require 1 x 10" conduit</t>
  </si>
  <si>
    <t xml:space="preserve">  - Mooring Installation Vessel M/V Mystique or similar</t>
  </si>
  <si>
    <t xml:space="preserve"> - Fuel at $3.5/gallon</t>
  </si>
  <si>
    <t>Mob/Demob of Vessel</t>
  </si>
  <si>
    <t xml:space="preserve">Dockside Support </t>
  </si>
  <si>
    <t>At Dock Loading</t>
  </si>
  <si>
    <t>Transit to Site and back</t>
  </si>
  <si>
    <t>On-Site Working</t>
  </si>
  <si>
    <t>Day-rate</t>
  </si>
  <si>
    <t># Days</t>
  </si>
  <si>
    <t xml:space="preserve"> - Cable Installation Vessel</t>
  </si>
  <si>
    <t xml:space="preserve"> - Support Vessel</t>
  </si>
  <si>
    <t xml:space="preserve"> -Cable Installation and Burial Tools</t>
  </si>
  <si>
    <t>Dayrates:</t>
  </si>
  <si>
    <t>At Dock Mob/Demob</t>
  </si>
  <si>
    <t>Loading Cable</t>
  </si>
  <si>
    <t>Transit</t>
  </si>
  <si>
    <t>Standby</t>
  </si>
  <si>
    <t>Cable Lay Ops</t>
  </si>
  <si>
    <t>Installation Process</t>
  </si>
  <si>
    <t>Mob/Demob CIV</t>
  </si>
  <si>
    <t>Load Cable</t>
  </si>
  <si>
    <t>Transit to Site</t>
  </si>
  <si>
    <t>Install Cable &amp; Surface Lay</t>
  </si>
  <si>
    <t>Cable Burial and S/E</t>
  </si>
  <si>
    <t>Transit to/from Home Port</t>
  </si>
  <si>
    <t>1 0-Unit</t>
  </si>
  <si>
    <t>50 Unit</t>
  </si>
  <si>
    <t>100 Unit</t>
  </si>
  <si>
    <t>Transit (5000 miles)</t>
  </si>
  <si>
    <t xml:space="preserve"> - Installation continously until complete</t>
  </si>
  <si>
    <t xml:space="preserve"> - 2 tugs (800-1500 HP)</t>
  </si>
  <si>
    <t xml:space="preserve"> - Crew Boat</t>
  </si>
  <si>
    <t xml:space="preserve"> - Shoreside support</t>
  </si>
  <si>
    <t xml:space="preserve"> - Workboat (the same as used for O&amp;M)</t>
  </si>
  <si>
    <t>Process</t>
  </si>
  <si>
    <t xml:space="preserve">Mob/Demob </t>
  </si>
  <si>
    <t>1 device per day</t>
  </si>
  <si>
    <t>10  Unit</t>
  </si>
  <si>
    <t xml:space="preserve">Notes: </t>
  </si>
  <si>
    <t xml:space="preserve"> - Same setup as Device Installation</t>
  </si>
  <si>
    <t>Percentage Rate</t>
  </si>
  <si>
    <t>Buoyancy</t>
  </si>
  <si>
    <t>1.1 Development</t>
  </si>
  <si>
    <t>1.2 Infrastructure</t>
  </si>
  <si>
    <t>1.3 Mooring/Foundation</t>
  </si>
  <si>
    <t>1.4 Device Structural Components</t>
  </si>
  <si>
    <t>1.5 Power Take Off</t>
  </si>
  <si>
    <t>1.7 Installation</t>
  </si>
  <si>
    <t>2.1 Insurance</t>
  </si>
  <si>
    <t>2.2 Environmental Monitoring and Regulatory Compliance</t>
  </si>
  <si>
    <t>2.3 Marine Operations</t>
  </si>
  <si>
    <t>2.4 Shoreside Operations</t>
  </si>
  <si>
    <t>2.5 Replacement Parts</t>
  </si>
  <si>
    <t>2.6 Consumables</t>
  </si>
  <si>
    <t>Vessel</t>
  </si>
  <si>
    <t>Per Diem</t>
  </si>
  <si>
    <t>Salary ($/year)</t>
  </si>
  <si>
    <t>Burden</t>
  </si>
  <si>
    <t># of Staff</t>
  </si>
  <si>
    <t>Staffing Costs ($/Year)</t>
  </si>
  <si>
    <t>Average</t>
  </si>
  <si>
    <t>Wage ($/hr)</t>
  </si>
  <si>
    <t>(%)</t>
  </si>
  <si>
    <t>years 1-5</t>
  </si>
  <si>
    <t>6-10</t>
  </si>
  <si>
    <t>11-15</t>
  </si>
  <si>
    <t>16-20</t>
  </si>
  <si>
    <t>Site Manager Salary</t>
  </si>
  <si>
    <t>Admin. Asst. Salary</t>
  </si>
  <si>
    <t>Sr. Tech Wage</t>
  </si>
  <si>
    <t>Jr. Tech Wage</t>
  </si>
  <si>
    <t>Additional Cost</t>
  </si>
  <si>
    <t>Dockside Rental</t>
  </si>
  <si>
    <t xml:space="preserve">Facilities Lease </t>
  </si>
  <si>
    <t xml:space="preserve"> - Ship Conversion including: (1) DP-1, Crane, Whinch, Delivery etc. </t>
  </si>
  <si>
    <t xml:space="preserve"> - Using new vessel, values come in between $4.09M and $5.65M</t>
  </si>
  <si>
    <t xml:space="preserve"> - Using used vessel, values are estimated between $2.09M and $3.1M</t>
  </si>
  <si>
    <t>$/day</t>
  </si>
  <si>
    <t>Boat (incl. 4 person crew)</t>
  </si>
  <si>
    <t>Additional Crew</t>
  </si>
  <si>
    <t>Crew Boat</t>
  </si>
  <si>
    <t>Fuel and Consumables</t>
  </si>
  <si>
    <t>Vessel of Opportunity - 12-hour dayrates for Devicve Retrieval, Mooring Repair and Cable Repair</t>
  </si>
  <si>
    <t>Vessel of Opportunity - 12-hour dayrates for Device Access and PTO Swap-out</t>
  </si>
  <si>
    <t>Permanent Crew Dayrate</t>
  </si>
  <si>
    <t>Number of Crew</t>
  </si>
  <si>
    <t>Average Hourly Rate</t>
  </si>
  <si>
    <t>Hours/Day</t>
  </si>
  <si>
    <t>Total Crew-day cost</t>
  </si>
  <si>
    <t>Inspect Mooring System using ROV</t>
  </si>
  <si>
    <t>Unscheduled Structural/Mooring/Riser Cable</t>
  </si>
  <si>
    <t>Device Recovery for shore-side overhaul</t>
  </si>
  <si>
    <t># of ops-days/year</t>
  </si>
  <si>
    <t>$/year</t>
  </si>
  <si>
    <t>$/kW-year</t>
  </si>
  <si>
    <t>Rebuild Hydraulic System and Oil Change</t>
  </si>
  <si>
    <t># Hydraulic System Replacements/Ops-day</t>
  </si>
  <si>
    <t># of Ops days/year</t>
  </si>
  <si>
    <t># of Interventions per device-year Requiring Device Recovery</t>
  </si>
  <si>
    <t># of Interventions per device-year requiring PTO retrieval</t>
  </si>
  <si>
    <t>Unscheduled PTO repairs</t>
  </si>
  <si>
    <t>Total Marine Ops Cost</t>
  </si>
  <si>
    <t>Failure Rates for Powertrain</t>
  </si>
  <si>
    <t># Failures / Year</t>
  </si>
  <si>
    <t xml:space="preserve">Overhead </t>
  </si>
  <si>
    <t>Electrical Systems</t>
  </si>
  <si>
    <t>External Systems</t>
  </si>
  <si>
    <t>Moorings</t>
  </si>
  <si>
    <t>$/Unit</t>
  </si>
  <si>
    <t>L50</t>
  </si>
  <si>
    <t>$/Year</t>
  </si>
  <si>
    <t># Failures/Year</t>
  </si>
  <si>
    <t xml:space="preserve"> - No design available for linear guides, estimated cost at 20% of PTO cost</t>
  </si>
  <si>
    <t>Cost Progress Ratio</t>
  </si>
  <si>
    <t>Cost at Different Unit Scales</t>
  </si>
  <si>
    <t>Staffing Levels / Cost</t>
  </si>
  <si>
    <t>Consumables include</t>
  </si>
  <si>
    <t>$/year-device</t>
  </si>
  <si>
    <t>Inter-Device Cable Cost (included in 1.5)</t>
  </si>
  <si>
    <t>Installed Cost</t>
  </si>
  <si>
    <t>RE Vision Estimate</t>
  </si>
  <si>
    <t>Actual cost breakdowns are provided in separate report by PNNL (average values carried forward to this spreadsheet)</t>
  </si>
  <si>
    <t xml:space="preserve"> - Bathimtric and Geophysical Survey</t>
  </si>
  <si>
    <t xml:space="preserve"> - Small site survey with dimensions of 3.5km x 1km one trunck cable corridor</t>
  </si>
  <si>
    <t xml:space="preserve"> - Large site survey with dimensions of 16.5km x 1km with trunck cable survey</t>
  </si>
  <si>
    <t xml:space="preserve"> - Includes: bathimetry, sub-bottom profiling, Magnetometer, Grab Samples, Underwater Video</t>
  </si>
  <si>
    <t>Design &amp; Engineering is taken as a percentage of total hard cost of the device</t>
  </si>
  <si>
    <t>Terminations and Connectors are difficult to estimate without a detailed design effort. Estimated them as 10% of Cable cost</t>
  </si>
  <si>
    <t>See notes above</t>
  </si>
  <si>
    <t>1.3.4 Connecting Hardware</t>
  </si>
  <si>
    <t>1.3.3 Buoyancy</t>
  </si>
  <si>
    <t>Total Installed Cost (omits Decommissioning)</t>
  </si>
  <si>
    <t xml:space="preserve">RE Vision Estimate </t>
  </si>
  <si>
    <t>RE Vision 100 KW Wave Power Hydraulic System Study</t>
  </si>
  <si>
    <t>Data Sources - Single Unit Scale</t>
  </si>
  <si>
    <t>- Costs have been estimated from a 100kW system design and scaled using the rated capacity of the RM3 device</t>
  </si>
  <si>
    <t>Data Sources - Commercial Scale (100-Units)</t>
  </si>
  <si>
    <t>Machine Cost</t>
  </si>
  <si>
    <t>RE Vision cost assessment</t>
  </si>
  <si>
    <t>See notes above in cost details</t>
  </si>
  <si>
    <t>RE Vision Esitmate</t>
  </si>
  <si>
    <t>RE Vision Estimae</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</si>
  <si>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</si>
  <si>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WindPACT study from NREL operation and matinence model</t>
  </si>
  <si>
    <t>Estimate from survey company</t>
  </si>
  <si>
    <t>Not estimated, but included in project contingency</t>
  </si>
  <si>
    <t>Only critical components that can not be made redundant are considered in failure rate</t>
  </si>
  <si>
    <t xml:space="preserve">Mooring L50 life considers that a mooring repair results only in partial replacement </t>
  </si>
  <si>
    <t>High level estimates based on similar projects</t>
  </si>
  <si>
    <t>All Data in this sheet directly adopted from Reference Model Study</t>
  </si>
  <si>
    <t>Mooring Costs for RM3 device used as a proxy for mooring costs here.</t>
  </si>
  <si>
    <t>OE Buoy Hull (50m x 40m)</t>
  </si>
  <si>
    <t>FRP Weight</t>
  </si>
  <si>
    <t>$/tonne of finished material</t>
  </si>
  <si>
    <t>Estimate</t>
  </si>
  <si>
    <t>Hydro-Air Turbine</t>
  </si>
  <si>
    <t>Prog. Ratio</t>
  </si>
  <si>
    <t>Air Turbine</t>
  </si>
  <si>
    <t>Transformer</t>
  </si>
  <si>
    <t>Subtotal</t>
  </si>
  <si>
    <t>PTO Rated Capacity</t>
  </si>
  <si>
    <t>Per kW Estimated Values for sub-systems</t>
  </si>
  <si>
    <t>Per Device Estimated Values for Sub-Systems</t>
  </si>
  <si>
    <t>Based on Reference Model cost estimates</t>
  </si>
  <si>
    <t>Cost per kW</t>
  </si>
  <si>
    <t>Estimated at 20% of turbine component cost</t>
  </si>
  <si>
    <t xml:space="preserve">Estimated at fixed cost of $100k </t>
  </si>
  <si>
    <t>Single Unit</t>
  </si>
  <si>
    <t>Mass Production (100-Unit Scale)</t>
  </si>
  <si>
    <t>Paint, Seals, etc.</t>
  </si>
  <si>
    <t xml:space="preserve">Structural Cost Total </t>
  </si>
  <si>
    <t>Hull Cost from DoE funded Optimization Study</t>
  </si>
  <si>
    <t>Device Access assumes 5% of Hull Capex</t>
  </si>
  <si>
    <t>Note: Adjusted Value to match DoE requirements</t>
  </si>
  <si>
    <t>DRAFT :: Proposed CBS by NREL :: As of 1 Aug 2014 :: Future iterations expected :: Comments Welcome</t>
  </si>
  <si>
    <t>Draft Generalized Cost Breakdown Structure (CBS) for MHK Projects, with descriptions</t>
  </si>
  <si>
    <r>
      <rPr>
        <b/>
        <u/>
        <sz val="11"/>
        <color theme="1"/>
        <rFont val="Calibri"/>
        <family val="2"/>
        <scheme val="minor"/>
      </rPr>
      <t>Notes for Reviewers:</t>
    </r>
    <r>
      <rPr>
        <sz val="11"/>
        <color theme="1"/>
        <rFont val="Calibri"/>
        <family val="2"/>
        <scheme val="minor"/>
      </rPr>
      <t xml:space="preserve"> [1] Please review and provide comments on as much of the Cost Breakdown Strucuture (CBS) as possible. Building consensus on levels 1, 2 and 3 is most important, but your thoughts about levels 4 and 5 are also very valuable [2] Feel free to provide comments directly to the "Community Discussion" page on OpenEI (http://en.openei.org/community/group/water-power-forum) or by email to Ben Maples at NREL (Ben.Maples@nrel.gov)</t>
    </r>
  </si>
  <si>
    <t>NOTE: it is acceptable (and expected!) for some line items to be populated with a "0" or "NA", depending on the particular project</t>
  </si>
  <si>
    <t>Installed Capital Cost (ICC) [$/kW]</t>
  </si>
  <si>
    <t>CBS #</t>
  </si>
  <si>
    <t>Level</t>
  </si>
  <si>
    <t>Description</t>
  </si>
  <si>
    <t>Capital Expenditures (CAPEX)</t>
  </si>
  <si>
    <t>All installed costs incurred prior to commercial operations date (COD). CAPEX components include marine energy converter, balance of system, and financing.</t>
  </si>
  <si>
    <t xml:space="preserve">    Marine Energy Converter (MEC)</t>
  </si>
  <si>
    <t>Converts kinetic energy from water into three phase alternating current (AC) electrical energy.</t>
  </si>
  <si>
    <t xml:space="preserve">       Structural Assembly</t>
  </si>
  <si>
    <t>Primary energy capture (e.g. float paddle, turbine, flap, etc.) and supporting structural components.</t>
  </si>
  <si>
    <t xml:space="preserve">            Primary Energy Capture</t>
  </si>
  <si>
    <t>Primary energy capture (e.g. float paddle, turbine, flap, etc.).</t>
  </si>
  <si>
    <t xml:space="preserve">            Additional Structural Components</t>
  </si>
  <si>
    <t>Any additional supporting structural components not included in the Structure category.</t>
  </si>
  <si>
    <t xml:space="preserve">            Marine Systems </t>
  </si>
  <si>
    <t>Ancillary systems on the marine energy converter (MEC) device.</t>
  </si>
  <si>
    <t>1.1.1.3.1</t>
  </si>
  <si>
    <t xml:space="preserve">                Personnel Access System (Device Access)</t>
  </si>
  <si>
    <t>Additional components on marine energy converter (MEC) device to support personnel access.</t>
  </si>
  <si>
    <t>1.1.1.3.2</t>
  </si>
  <si>
    <t xml:space="preserve">                Ballast System</t>
  </si>
  <si>
    <t>Ballast to control draft/stability of floating systems, ballast can be fixed or variable (active or passive).</t>
  </si>
  <si>
    <t>1.1.1.3.3</t>
  </si>
  <si>
    <t xml:space="preserve">                Navigation Lighting</t>
  </si>
  <si>
    <t>Navigation lighting placed on the structure of the marine energy converter (MEC).</t>
  </si>
  <si>
    <t xml:space="preserve">            Control &amp; Communication System (SCADA)</t>
  </si>
  <si>
    <t>Connects the marine energy converter (MEC) device with an onshore operations center, provides water project operator with information about the status of MEC systems and allows remote control of some functions.</t>
  </si>
  <si>
    <t>1.1.1.4.1</t>
  </si>
  <si>
    <t xml:space="preserve">                Marine Energy Converter (MEC) Controller</t>
  </si>
  <si>
    <t>Control capabilities of various marine energy converter (MEC) components.</t>
  </si>
  <si>
    <t>1.1.1.4.2</t>
  </si>
  <si>
    <t xml:space="preserve">               Communication System  </t>
  </si>
  <si>
    <t>Analog I/O unit, digital I/O unit, Ethernet module, field bus master, field bus slave, frequency unit, controller internal communication system.</t>
  </si>
  <si>
    <t>1.1.1.4.3</t>
  </si>
  <si>
    <t xml:space="preserve">              Condition Monitoring System (CMS)</t>
  </si>
  <si>
    <t>Sensors, cables, data logger, protocol adapter card for data logger.</t>
  </si>
  <si>
    <t>1.1.1.4.4</t>
  </si>
  <si>
    <t xml:space="preserve">              Ancillary Equipment</t>
  </si>
  <si>
    <t>Cables, connectors, contactor/circuit breaker fuse.</t>
  </si>
  <si>
    <t>1.1.1.4.5</t>
  </si>
  <si>
    <t xml:space="preserve">              Marine Energy Converter (MEC) Plant Control Equipment</t>
  </si>
  <si>
    <t>Any advanced marine energy converter (MEC) plant control equipment installed on the device or distributed throughout the plant.</t>
  </si>
  <si>
    <t>1.1.1.5</t>
  </si>
  <si>
    <t xml:space="preserve">           Coatings</t>
  </si>
  <si>
    <t>Coatings to protect from corrosion in marine environment.</t>
  </si>
  <si>
    <t>1.1.1.6</t>
  </si>
  <si>
    <t xml:space="preserve">            Transportation of Structure</t>
  </si>
  <si>
    <t>Costs of transporting the marine energy converter (MEC) structure components from the manufacturing facility to the staging area.</t>
  </si>
  <si>
    <t xml:space="preserve">        Power Conversion Chain (PCC)</t>
  </si>
  <si>
    <t>Power conversion chain is comprised of a drivetrain (converts the energy captured by the device into mechanical power), a generator (converts mechanical power into electrical power), short term storage, and power electronics.</t>
  </si>
  <si>
    <t>1.1.2.1</t>
  </si>
  <si>
    <t xml:space="preserve">            PCC Structural Assembly</t>
  </si>
  <si>
    <t>Main structure of the power conversion chain.</t>
  </si>
  <si>
    <t>1.1.2.2</t>
  </si>
  <si>
    <t xml:space="preserve">            Drivetrain (i.e., Prime Mover)</t>
  </si>
  <si>
    <t>Components of the power conversion chain (PCC) to transfer mechanical energy.</t>
  </si>
  <si>
    <t>1.1.2.2.1</t>
  </si>
  <si>
    <t xml:space="preserve">                Gearbox</t>
  </si>
  <si>
    <t>Provides speed and torque conversion between the primary energy capture device and the generator.  Only applicable for geared designs.</t>
  </si>
  <si>
    <t>1.1.2.2.1.1</t>
  </si>
  <si>
    <t xml:space="preserve">    Gears</t>
  </si>
  <si>
    <t>Planet carrier, planet gear, ring gear, sun gear, spur gear, hollow shaft.</t>
  </si>
  <si>
    <t>1.1.2.2.1.2</t>
  </si>
  <si>
    <t xml:space="preserve">    Bearings</t>
  </si>
  <si>
    <t>Planet bearing, carrier bearing, shaft bearing.</t>
  </si>
  <si>
    <t>1.1.2.2.1.3</t>
  </si>
  <si>
    <t xml:space="preserve">    Housing</t>
  </si>
  <si>
    <t>Bushing, case, mounting, torque arm system.</t>
  </si>
  <si>
    <t>1.1.2.2.1.4</t>
  </si>
  <si>
    <t xml:space="preserve">    Sensors</t>
  </si>
  <si>
    <t>Debris sensors, oil level sensors, pressure 1 &amp; pressure 2 sensors, and temperature sensor.</t>
  </si>
  <si>
    <t>1.1.2.2.1.5</t>
  </si>
  <si>
    <t xml:space="preserve">    Lube System</t>
  </si>
  <si>
    <t>Primary filter, secondary filter, primary motor, primary pump, hose/fitting, seal, and reservoir.</t>
  </si>
  <si>
    <t>1.1.2.2.1.6</t>
  </si>
  <si>
    <t xml:space="preserve">    Cooling System</t>
  </si>
  <si>
    <t>Pump, radiator, hoses.</t>
  </si>
  <si>
    <t>1.1.2.3</t>
  </si>
  <si>
    <t xml:space="preserve">            Hydraulic System</t>
  </si>
  <si>
    <t>Hydraulic system to transfer mechanical energy from marine energy converter to electrical energy.</t>
  </si>
  <si>
    <t>1.1.2.3.1</t>
  </si>
  <si>
    <t xml:space="preserve">                Hydraulic Motor</t>
  </si>
  <si>
    <t>Motor to supply electrical power to hydraulic system</t>
  </si>
  <si>
    <t>1.1.2.3.2</t>
  </si>
  <si>
    <t xml:space="preserve">                Hydraulic Reservoir</t>
  </si>
  <si>
    <t>Reservoir to contain hydraulic fluid.</t>
  </si>
  <si>
    <t>1.1.2.4</t>
  </si>
  <si>
    <t xml:space="preserve">        Electrical Assembly</t>
  </si>
  <si>
    <t>Power off-take system elements.</t>
  </si>
  <si>
    <t>1.1.2.4.1</t>
  </si>
  <si>
    <t xml:space="preserve">            Generator</t>
  </si>
  <si>
    <t>Converts mechanical energy to electrical energy.</t>
  </si>
  <si>
    <t>1.1.2.4.1.1</t>
  </si>
  <si>
    <t>Hoses, filter, cooling fan, motor, radiator.</t>
  </si>
  <si>
    <t>1.1.2.4.1.2</t>
  </si>
  <si>
    <t xml:space="preserve">    Lubrication System</t>
  </si>
  <si>
    <t>Pump, pump motor, reservoir.</t>
  </si>
  <si>
    <t>1.1.2.4.1.3</t>
  </si>
  <si>
    <t xml:space="preserve">    Rotor</t>
  </si>
  <si>
    <t>Commentator, exciter, resistance controller, rotor lamination, rotor winding, slip ring, rotor magnets, brush.</t>
  </si>
  <si>
    <t>1.1.2.4.1.4</t>
  </si>
  <si>
    <t>Core temperature sensor, encoder, watt meter.</t>
  </si>
  <si>
    <t>1.1.2.4.1.5</t>
  </si>
  <si>
    <t xml:space="preserve">    Stator</t>
  </si>
  <si>
    <t>Stator magnets, stator lamination, stator windings.</t>
  </si>
  <si>
    <t>1.1.2.4.1.6</t>
  </si>
  <si>
    <t xml:space="preserve">    Structural &amp; Mechanical </t>
  </si>
  <si>
    <t>Front bearing, rear bearing, silent block, housing, and shaft.</t>
  </si>
  <si>
    <t>1.1.2.5</t>
  </si>
  <si>
    <t xml:space="preserve">            Frequency Converter</t>
  </si>
  <si>
    <t>Coverts variable frequency from asynchronous generator to grid-compliant power of the right ‘quality' and with a stable frequency of either 50 Hz or 60 Hz.</t>
  </si>
  <si>
    <t>1.1.2.5.1</t>
  </si>
  <si>
    <t xml:space="preserve">                Converter Auxiliaries </t>
  </si>
  <si>
    <t>Power supply, cabinet, heating system, cabinet sensor, communication &amp; interface unit, control board, generator side fan, grid side fan, measurement unit, power supply, power supply 24 V, tachometer adapter, thermostat.</t>
  </si>
  <si>
    <t>1.1.2.5.2</t>
  </si>
  <si>
    <t xml:space="preserve">                 Converter Power Bus</t>
  </si>
  <si>
    <t>Branching unit, capacitors, contactors, generator side converter, generator side power module, grid side converter, grid side power module, inductor, load switch, pre-charge unit.</t>
  </si>
  <si>
    <t>1.1.2.5.3</t>
  </si>
  <si>
    <t xml:space="preserve">                 Power Conditioning </t>
  </si>
  <si>
    <t>Common mode filter, crowbar system, DC chopper, generator side filter, line filter assembly, voltage limit unit.</t>
  </si>
  <si>
    <t>1.1.2.6</t>
  </si>
  <si>
    <t xml:space="preserve">            Short-Tem Energy Storage</t>
  </si>
  <si>
    <t>Temporary storage of electrical energy.</t>
  </si>
  <si>
    <t>1.1.2.7</t>
  </si>
  <si>
    <t xml:space="preserve">            Power Electrical System</t>
  </si>
  <si>
    <t>System to covert generator voltage to array cable system voltage for collection.</t>
  </si>
  <si>
    <t>1.1.2.7.1</t>
  </si>
  <si>
    <t xml:space="preserve">                 Power Circuit</t>
  </si>
  <si>
    <t>Insulated-gate bipolar transistor (IGBT) module, rectifier bridge, crowbar system, driver/control board, cables, machine contractor, M Busbar/Isolator/Circuit Breaker, M Switchgear/Disconnect, motor contractor, soft starter, grounding system.</t>
  </si>
  <si>
    <t>1.1.2.7.2</t>
  </si>
  <si>
    <t xml:space="preserve">                Main Transformer</t>
  </si>
  <si>
    <t>Main marine energy converter transformer.</t>
  </si>
  <si>
    <t>1.1.2.7.3</t>
  </si>
  <si>
    <t xml:space="preserve">                Measurements</t>
  </si>
  <si>
    <t>Equipment to measure the function of the power electric system.</t>
  </si>
  <si>
    <t>1.1.2.7.4</t>
  </si>
  <si>
    <t xml:space="preserve">                Switchgear</t>
  </si>
  <si>
    <t>Marine energy converter switchgear.</t>
  </si>
  <si>
    <t>1.1.2.8</t>
  </si>
  <si>
    <t xml:space="preserve">            Coatings</t>
  </si>
  <si>
    <t>1.1.2.9</t>
  </si>
  <si>
    <t xml:space="preserve">            Transportation of Power Conversion Chain</t>
  </si>
  <si>
    <t>Costs of transporting the marine energy converter (MEC) power conversion chain (PCC) components from the manufacturing facility to the staging area.</t>
  </si>
  <si>
    <t xml:space="preserve">    Balance of System</t>
  </si>
  <si>
    <t>Balance of equipment, labor, and material costs (other than marine energy converter) incurred prior to commercial operation date (COD).</t>
  </si>
  <si>
    <t xml:space="preserve">        Development</t>
  </si>
  <si>
    <t>All activities from project inception to financial close, where financial close is the date when project and financing agreements have been signed and all the required conditions  have been met.</t>
  </si>
  <si>
    <t>1.2.1.1</t>
  </si>
  <si>
    <t xml:space="preserve">            Permitting &amp; Leasing</t>
  </si>
  <si>
    <t>Acquisition of permits and leases required for site assessment, construction, and operation at the project site.</t>
  </si>
  <si>
    <t>1.2.1.1.1</t>
  </si>
  <si>
    <t xml:space="preserve">                Permit Acquisition Activities </t>
  </si>
  <si>
    <t>Activities necessary to obtain permits from relevant authorities.</t>
  </si>
  <si>
    <t>1.2.1.1.2</t>
  </si>
  <si>
    <t xml:space="preserve">                Lease Acquisition Activities</t>
  </si>
  <si>
    <t>Activities necessary to obtain commercial or research lease to operate the project from relevant authorities.</t>
  </si>
  <si>
    <t>1.2.1.1.3</t>
  </si>
  <si>
    <t xml:space="preserve">                Public Outreach</t>
  </si>
  <si>
    <t>Stakeholder education, marketing, and other efforts to facilitate public acceptance of a project.</t>
  </si>
  <si>
    <t>1.2.1.2</t>
  </si>
  <si>
    <t xml:space="preserve">            Professional Advisory Services</t>
  </si>
  <si>
    <t>Legal support, external consultants, accounting, etc., during development.</t>
  </si>
  <si>
    <t>1.2.1.3</t>
  </si>
  <si>
    <t xml:space="preserve">            Initial Engineering</t>
  </si>
  <si>
    <t>Engineering studies to specify the design of the project (e.g., technology, layout) and understand economics and risks associated with the design.</t>
  </si>
  <si>
    <t>1.2.1.3.1</t>
  </si>
  <si>
    <t xml:space="preserve">                Pre-FEED</t>
  </si>
  <si>
    <t>Preliminary engineering design studies to develop general design of project, identify a short list of technologies for further evaluation, and identify fatal flaws.</t>
  </si>
  <si>
    <t>1.2.1.3.2</t>
  </si>
  <si>
    <t xml:space="preserve">                FEED</t>
  </si>
  <si>
    <t>Engineering activities to develop final design specification, address areas of risk/uncertainty, determine technical &amp; economic feasibility, and develop  necessary specifications to begin procurement process. (20% to 30% design level). Additional engineering (preliminary, detailed, final) are covered in Engineering and Management.</t>
  </si>
  <si>
    <t>1.2.1.3.3</t>
  </si>
  <si>
    <t xml:space="preserve">                 Engineering Certification</t>
  </si>
  <si>
    <t>Review by 3rd party, independent verification agent to assess feasibility of design basis, resulting in Certification Report.</t>
  </si>
  <si>
    <t>1.2.1.4</t>
  </si>
  <si>
    <t xml:space="preserve">            Site Characterization</t>
  </si>
  <si>
    <t>Equipment, material and labor costs required for collecting/analysis of wind resource, ocean conditions, and geological data at project site. Defines parameters for engineering assessments as data becomes available.</t>
  </si>
  <si>
    <t>1.2.1.4.1</t>
  </si>
  <si>
    <t xml:space="preserve">                Siting &amp; Scoping</t>
  </si>
  <si>
    <t>Initial desktop-level studies to select project location, develop a conceptual design, identify regulatory requirements, and create preliminary business case.</t>
  </si>
  <si>
    <t>1.2.1.4.2</t>
  </si>
  <si>
    <t xml:space="preserve">                Studies &amp; Surveys</t>
  </si>
  <si>
    <t>Environmental and social surveys/studies required by regulators or otherwise necessary for the project.</t>
  </si>
  <si>
    <t>1.2.1.4.3</t>
  </si>
  <si>
    <t xml:space="preserve">                Water Monitoring Stations </t>
  </si>
  <si>
    <t>Buoys, benthic node, Acoustic Doppler Current Profilers, instrumentation (meteorological and oceanographic), and data acquisition systems.</t>
  </si>
  <si>
    <t>1.2.1.4.4</t>
  </si>
  <si>
    <t xml:space="preserve">                Water Monitoring  Installation </t>
  </si>
  <si>
    <t>Vessels, labor, and equipment required to install instrumentation and data acquisition system.</t>
  </si>
  <si>
    <t>1.2.1.4.5</t>
  </si>
  <si>
    <t xml:space="preserve">                Water Resource Analysis </t>
  </si>
  <si>
    <t>Collection, cleaning, and analysis of data to develop water resource profile and power production estimates for a selection of marine energy converter types at project site. May include array layout optimization surveys.</t>
  </si>
  <si>
    <t>1.2.1.4.6</t>
  </si>
  <si>
    <t xml:space="preserve">                Geotechnical &amp; Geophysical Surveys</t>
  </si>
  <si>
    <t>Vessels, labor, and equipment required to establish bathymetry, seabed features, water depth, stratigraphy, and identify hazards on seafloor. Performed for project site and potential cable routes to interconnection.</t>
  </si>
  <si>
    <t>1.2.1.5</t>
  </si>
  <si>
    <t xml:space="preserve">            Interconnection &amp; Power Marketing</t>
  </si>
  <si>
    <t>Activities to gain access to the transmission grid and negotiate contracts to sell or otherwise market  power.</t>
  </si>
  <si>
    <t>1.2.1.5.1</t>
  </si>
  <si>
    <t xml:space="preserve">                Interconnection Studies &amp; Fees</t>
  </si>
  <si>
    <t>Activities required to obtain a Large Generator Interconnection Agreement from Federal Energy Regulatory Commission (FERC), prepared in coordination with transmission system operator. Studies cover technical considerations of interconnecting project with grid, while maintaining system balance and within grid operating limits.</t>
  </si>
  <si>
    <t>1.2.1.5.2</t>
  </si>
  <si>
    <t xml:space="preserve">                Transmission Rights of Way</t>
  </si>
  <si>
    <t>Costs of obtaining or expanding transmission rights of way for any onshore electric infrastructure (e.g., overhead transmission lines), includes any costs to permit onshore transmission.</t>
  </si>
  <si>
    <t>1.2.1.5.3</t>
  </si>
  <si>
    <t xml:space="preserve">                Power Marketing </t>
  </si>
  <si>
    <t>Efforts to develop power marketing strategy, forecast pricing, and negotiate Power Purchase Agreements (PPAs).</t>
  </si>
  <si>
    <t>1.2.1.6</t>
  </si>
  <si>
    <t xml:space="preserve">            Project Management During Development</t>
  </si>
  <si>
    <t>Project Management from the start of the development phase through financial close.</t>
  </si>
  <si>
    <t>1.2.1.6.1</t>
  </si>
  <si>
    <t xml:space="preserve">                Procurement</t>
  </si>
  <si>
    <t>Preparation of tenders for each work package, evaluation of bids, negotiations with suppliers.</t>
  </si>
  <si>
    <t>1.2.1.6.2</t>
  </si>
  <si>
    <t xml:space="preserve">                Salaries</t>
  </si>
  <si>
    <t>Salaries for management and support staff on payroll of developer, some overlap with categories above is expected, depending on amount of work that is completed internally vs. contracted.</t>
  </si>
  <si>
    <t>1.2.1.6.3</t>
  </si>
  <si>
    <t xml:space="preserve">               Sales, General, &amp; Administrative</t>
  </si>
  <si>
    <t>Overhead for the project company including administrative salaries and benefits, rent, utilities, depreciation, insurance, etc.</t>
  </si>
  <si>
    <t>1.2.1.6.4</t>
  </si>
  <si>
    <t xml:space="preserve">               Profit (if private developer)</t>
  </si>
  <si>
    <t>Any margin earned by the developer upon sale of the project at financial close, does not include the cost to a new owner of any stake that a developer might retain in the  project.</t>
  </si>
  <si>
    <t>1.2.1.7</t>
  </si>
  <si>
    <t xml:space="preserve">            Financing and Incentives</t>
  </si>
  <si>
    <t>Fees, closing costs, and staff and consultant efforts to arrange and secure equity, debt financing, and government incentives.</t>
  </si>
  <si>
    <t>1.2.1.7.1</t>
  </si>
  <si>
    <t xml:space="preserve">              Due Diligence </t>
  </si>
  <si>
    <t>Activities performed by potential investors to investigate technical and economic aspects of the project and estimate value prior to executing a financial commitment. Typically conducted by 3rd party technical consultant(s) hired by investor(s).</t>
  </si>
  <si>
    <t>1.2.1.7.2</t>
  </si>
  <si>
    <t xml:space="preserve">              Incentives</t>
  </si>
  <si>
    <t>Efforts performed by the developer to secure and demonstrate qualification for  local, state, and federal incentives.</t>
  </si>
  <si>
    <t>1.2.1.7.3</t>
  </si>
  <si>
    <t xml:space="preserve">              Closing Costs</t>
  </si>
  <si>
    <t>Administrative costs incurred by investors (debt and equity) during the evaluation of the investment.</t>
  </si>
  <si>
    <t>1.2.1.7.4</t>
  </si>
  <si>
    <t xml:space="preserve">              Legal Support</t>
  </si>
  <si>
    <t>Developer's legal support to during negotiations to arrange financing.</t>
  </si>
  <si>
    <t xml:space="preserve">        Engineering and Management</t>
  </si>
  <si>
    <t>Engineering and management activities from financial close through commercial operation date (COD).</t>
  </si>
  <si>
    <t>1.2.2.1</t>
  </si>
  <si>
    <t xml:space="preserve">            Detailed Design and Construction Engineering</t>
  </si>
  <si>
    <t>Detailed design and construction engineering costs.</t>
  </si>
  <si>
    <t>1.2.2.2</t>
  </si>
  <si>
    <t xml:space="preserve">            Procurement Management</t>
  </si>
  <si>
    <t>Bid management, purchasing, negotiations, contract management.</t>
  </si>
  <si>
    <t>1.2.2.3</t>
  </si>
  <si>
    <t xml:space="preserve">            Construction Management</t>
  </si>
  <si>
    <t>Quality control and assurance.</t>
  </si>
  <si>
    <t>1.2.2.3.1</t>
  </si>
  <si>
    <t>Salaries for management and support staff on payroll of project owner and/or construction manager.</t>
  </si>
  <si>
    <t>1.2.2.3.2</t>
  </si>
  <si>
    <t xml:space="preserve">                Sales, General, &amp; Administrative</t>
  </si>
  <si>
    <t>Overhead for the project company  and/or construction manager including administrative salaries and benefits, rent, utilities, depreciation, insurance, etc.</t>
  </si>
  <si>
    <t>1.2.2.3.3</t>
  </si>
  <si>
    <t xml:space="preserve">                Profit </t>
  </si>
  <si>
    <t>Any margin earned by an independent construction management firm.</t>
  </si>
  <si>
    <t>1.2.2.4</t>
  </si>
  <si>
    <t xml:space="preserve">            Project Certification</t>
  </si>
  <si>
    <t>Review by a 3rd party independent verification agent to assure that project is in compliance with design basis as well as technical standards and regulatory requirements. Results in project certificate.</t>
  </si>
  <si>
    <t>1.2.2.5</t>
  </si>
  <si>
    <t xml:space="preserve">            Health, Safety, &amp; Environmental Monitoring</t>
  </si>
  <si>
    <t>Coordination and monitoring to ensure compliance with health, safety, and environmental monitoring requirements during construction.</t>
  </si>
  <si>
    <t>1.2.2.5.1</t>
  </si>
  <si>
    <t xml:space="preserve">                Health and Safety Monitoring</t>
  </si>
  <si>
    <t>Coordination and monitoring to ensure compliance with health and safety requirements during construction.</t>
  </si>
  <si>
    <t>1.2.2.5.2</t>
  </si>
  <si>
    <t xml:space="preserve">                Environmental Monitoring</t>
  </si>
  <si>
    <t>Coordination and monitoring to ensure compliance with environmental requirement during construction.</t>
  </si>
  <si>
    <t xml:space="preserve">        Electrical Infrastructure</t>
  </si>
  <si>
    <t>All electrical infrastructure to collect power from generators and deliver to the grid.</t>
  </si>
  <si>
    <t>1.2.3.1</t>
  </si>
  <si>
    <t xml:space="preserve">            Array Cable System</t>
  </si>
  <si>
    <t>Collects power generated by the marine energy converter(s) and transports to the offshore substation(s).</t>
  </si>
  <si>
    <t>1.2.3.1.1</t>
  </si>
  <si>
    <t xml:space="preserve">                Array Cables</t>
  </si>
  <si>
    <t>High- or medium-voltage cable to connect the marine energy converters (MECs) with offshore substation or export MEC.</t>
  </si>
  <si>
    <t>1.2.3.1.2</t>
  </si>
  <si>
    <t xml:space="preserve">                Protection</t>
  </si>
  <si>
    <t>Equipment and materials used to protect cable from damage (strikes, over-bending, etc.)</t>
  </si>
  <si>
    <t>1.2.3.1.2.1</t>
  </si>
  <si>
    <t xml:space="preserve">    Scour Protection  </t>
  </si>
  <si>
    <t>Rock fill, sand bags, or concrete mattresses to protect from scouring, used where burial is not possible.</t>
  </si>
  <si>
    <t>1.2.3.1.2.2</t>
  </si>
  <si>
    <t xml:space="preserve">    Seabed Protection Mats</t>
  </si>
  <si>
    <t>Concrete, sand bags, polyurethane mats to route cables over existing electric/telecommunications cables.</t>
  </si>
  <si>
    <t>1.2.3.1.2.3</t>
  </si>
  <si>
    <t xml:space="preserve">    Ducting System</t>
  </si>
  <si>
    <t>Protective sheath that can be fitted around cables where burial is not an option.</t>
  </si>
  <si>
    <t>1.2.3.1.2.4</t>
  </si>
  <si>
    <t xml:space="preserve">    Bend Restrictors </t>
  </si>
  <si>
    <t>Prevents the over-bending of static cables during installation and operations.</t>
  </si>
  <si>
    <t>1.2.3.1.2.5</t>
  </si>
  <si>
    <t xml:space="preserve">    Bend Stiffeners</t>
  </si>
  <si>
    <t>Limit bending stresses and maintain acceptable curvature for dynamic cables at hang off point and touch down.</t>
  </si>
  <si>
    <t>1.2.3.1.3</t>
  </si>
  <si>
    <t xml:space="preserve">                Ancillary Equipment</t>
  </si>
  <si>
    <t>Other elements providing necessary functions to the array cable system.</t>
  </si>
  <si>
    <t>1.2.3.1.3.1</t>
  </si>
  <si>
    <t xml:space="preserve">    Termination Kit</t>
  </si>
  <si>
    <t>Necessary components to for connection of array cable to each marine energy converter (MEC) transformer.</t>
  </si>
  <si>
    <t>1.2.3.1.3.2</t>
  </si>
  <si>
    <t xml:space="preserve">    Connectors</t>
  </si>
  <si>
    <t>Equipment to connect individual sections of cable together, in the event of long cable runs or damage.</t>
  </si>
  <si>
    <t>1.2.3.1.3.3</t>
  </si>
  <si>
    <t xml:space="preserve">    Buoyancy Modules</t>
  </si>
  <si>
    <t>Used to manage buoyancy in some dynamic cable configurations and control load transfer.</t>
  </si>
  <si>
    <t>1.2.3.1.3.4</t>
  </si>
  <si>
    <t xml:space="preserve">    Anchorage</t>
  </si>
  <si>
    <t>Used to maintain the station of dynamic cable at touchdown point.</t>
  </si>
  <si>
    <t>1.2.3.1.3.5</t>
  </si>
  <si>
    <t xml:space="preserve">    Messenger Lines &amp; Buoys</t>
  </si>
  <si>
    <t>Ancillary equipment used during the installation of static and dynamic cable systems.</t>
  </si>
  <si>
    <t>1.2.3.1.3.6</t>
  </si>
  <si>
    <t xml:space="preserve">    Array Cable System Commissioning</t>
  </si>
  <si>
    <t> Process of assuring that all array cable systems and components are operational through a predefined series of tests and checks.</t>
  </si>
  <si>
    <t>1.2.3.1.4</t>
  </si>
  <si>
    <t xml:space="preserve">                Array Cable System Transportation</t>
  </si>
  <si>
    <t>Costs of transporting the array cable components from the manufacturing facility to the staging area</t>
  </si>
  <si>
    <t>1.2.3.2</t>
  </si>
  <si>
    <t xml:space="preserve">            Export Cable System</t>
  </si>
  <si>
    <t xml:space="preserve">Export cables and associated infrastructure to connect marine energy converter(s) or offshore substation(s) with onshore electric infrastructure or offshore convertor station(s) if using direct current (DC). </t>
  </si>
  <si>
    <t>1.2.3.2.1</t>
  </si>
  <si>
    <t xml:space="preserve">                Export Cables </t>
  </si>
  <si>
    <t>High- or medium-voltage cable to connect marine energy converter (MEC) or offshore substations with onshore electric infrastructure or offshore convertor station (if DC).</t>
  </si>
  <si>
    <t>1.2.3.2.2</t>
  </si>
  <si>
    <t xml:space="preserve">               Protection</t>
  </si>
  <si>
    <t>1.2.3.2.2.1</t>
  </si>
  <si>
    <t>1.2.3.2.2.2</t>
  </si>
  <si>
    <t>1.2.3.2.2.3</t>
  </si>
  <si>
    <t>1.2.3.2.2.4</t>
  </si>
  <si>
    <t>1.2.3.2.2.5</t>
  </si>
  <si>
    <t>1.2.3.2.3</t>
  </si>
  <si>
    <t>Other elements providing necessary functions to the export cable system.</t>
  </si>
  <si>
    <t>1.2.3.2.3.1</t>
  </si>
  <si>
    <t>Necessary components for connection of cable to substation and to onshore electric infrastructure.</t>
  </si>
  <si>
    <t>1.2.3.2.3.2</t>
  </si>
  <si>
    <t>1.2.3.2.3.3</t>
  </si>
  <si>
    <t>1.2.3.2.3.4</t>
  </si>
  <si>
    <t>1.2.3.2.3.5</t>
  </si>
  <si>
    <t>1.2.3.2.4</t>
  </si>
  <si>
    <t xml:space="preserve">                Export Cable System Transportation</t>
  </si>
  <si>
    <t>Costs of transporting the export cable components from the manufacturing facility to the staging area.</t>
  </si>
  <si>
    <t>1.2.3.3</t>
  </si>
  <si>
    <t xml:space="preserve">            Offshore Substation(s) </t>
  </si>
  <si>
    <t>Electric conversion equipment required to step-up or convert power for export to the onshore grid and support structure,  also onboard work platforms, accommodation, equipment storage, helicopter access, etc.</t>
  </si>
  <si>
    <t>1.2.3.3.1</t>
  </si>
  <si>
    <t xml:space="preserve">                Topside </t>
  </si>
  <si>
    <t>Structure that provides support and climate controlled housing for electrical conversion equipment, also can provide work platforms, accommodation, equipment storage, helicopter access, etc.</t>
  </si>
  <si>
    <t>1.2.3.3.1.1</t>
  </si>
  <si>
    <t xml:space="preserve">    Structure</t>
  </si>
  <si>
    <t>Material, equipment, and labor costs of fabricating structural steel or concrete structure.</t>
  </si>
  <si>
    <t>1.2.3.3.1.2</t>
  </si>
  <si>
    <t xml:space="preserve">    Helicopter Deck</t>
  </si>
  <si>
    <t>Onboard helicopter landing platform.</t>
  </si>
  <si>
    <t>1.2.3.3.1.3</t>
  </si>
  <si>
    <t xml:space="preserve">    Accommodations</t>
  </si>
  <si>
    <t>Refuge, temporary, or permanent accommodations for project personnel.</t>
  </si>
  <si>
    <t>1.2.3.3.1.4</t>
  </si>
  <si>
    <t xml:space="preserve">    Outfitting Steel</t>
  </si>
  <si>
    <t>Additional non-structural elements attached to the primary structure.</t>
  </si>
  <si>
    <t>1.2.3.3.1.5</t>
  </si>
  <si>
    <t xml:space="preserve">    Topside Marine Systems </t>
  </si>
  <si>
    <t>Ancillary systems required for marine operations.</t>
  </si>
  <si>
    <t>1.2.3.3.1.6</t>
  </si>
  <si>
    <t xml:space="preserve">    Substation Topside Integration, Assembly, Test, and Checkout</t>
  </si>
  <si>
    <t>Activities performed by manufacturer to integrate, assemble, test, and checkout (IATC) the Substation Topside before  delivery to customer. Does not include commissioning activities.</t>
  </si>
  <si>
    <t>1.2.3.3.1.7</t>
  </si>
  <si>
    <t xml:space="preserve">    Transportation</t>
  </si>
  <si>
    <t>Costs to transport substation topside from manufacturer to staging port.</t>
  </si>
  <si>
    <t>1.2.3.3.2</t>
  </si>
  <si>
    <t xml:space="preserve">                Substructure &amp; Foundation</t>
  </si>
  <si>
    <t>All elements of the offshore substation below the point of connection with the topside.</t>
  </si>
  <si>
    <t>1.2.3.3.2.1</t>
  </si>
  <si>
    <t xml:space="preserve">    Foundation</t>
  </si>
  <si>
    <t>Main structural interface that transfers the loads into the seabed.</t>
  </si>
  <si>
    <t>1.2.3.3.2.2</t>
  </si>
  <si>
    <t xml:space="preserve">    Substructure </t>
  </si>
  <si>
    <t>Main structure that connects the foundation to the substation topside.</t>
  </si>
  <si>
    <t>1.2.3.3.2.3</t>
  </si>
  <si>
    <t xml:space="preserve">    Substructure Marine Systems</t>
  </si>
  <si>
    <t>Ancillary systems for marine operations, major element is the ballast system for floating offshore substations.</t>
  </si>
  <si>
    <t>1.2.3.3.2.4</t>
  </si>
  <si>
    <t xml:space="preserve">    Scour Protection</t>
  </si>
  <si>
    <t>Rock fill or concrete mattresses to protect substructures from scouring  at point of connection to seafloor.</t>
  </si>
  <si>
    <t>1.2.3.3.2.5</t>
  </si>
  <si>
    <t xml:space="preserve">    Substation Substructure &amp; Foundation Integration, Assembly, Testing, and Checkout</t>
  </si>
  <si>
    <t>Activities performed by manufacturer to integrate, assemble, test, and checkout (IATC) the Substation Substructure &amp; Foundation before delivery to customer. Does not include commissioning activities.</t>
  </si>
  <si>
    <t>1.2.3.3.2.6</t>
  </si>
  <si>
    <t>1.2.3.3.3</t>
  </si>
  <si>
    <t xml:space="preserve">                Electrical Conversion Equipment</t>
  </si>
  <si>
    <t xml:space="preserve">Equipment to step up power from array cable voltage to the export voltage and/or to convert power to DC </t>
  </si>
  <si>
    <t>1.2.3.3.3.1</t>
  </si>
  <si>
    <t xml:space="preserve">    AC Transformers</t>
  </si>
  <si>
    <t>Power convertors that step up generated power from array cable voltage to export voltage</t>
  </si>
  <si>
    <t>1.2.3.3.3.2</t>
  </si>
  <si>
    <t xml:space="preserve">    High Voltage Switchgear </t>
  </si>
  <si>
    <t>Equipment used to control, protect and disconnect the high voltage connection,</t>
  </si>
  <si>
    <t>1.2.3.3.3.3</t>
  </si>
  <si>
    <t xml:space="preserve">    Medium Voltage Switchgear </t>
  </si>
  <si>
    <t>Equipment used to control, protect and disconnect the medium voltage connection</t>
  </si>
  <si>
    <t>1.2.3.3.3.4</t>
  </si>
  <si>
    <t xml:space="preserve">    Shunt Reactors</t>
  </si>
  <si>
    <t>Onboard reactive compensation equipment</t>
  </si>
  <si>
    <t>1.2.3.3.3.5</t>
  </si>
  <si>
    <t xml:space="preserve">    DC Convertor</t>
  </si>
  <si>
    <t>Equipment to convert power from HVAC to HVDC for export to shore</t>
  </si>
  <si>
    <t>1.2.3.3.3.6</t>
  </si>
  <si>
    <t xml:space="preserve">    Filtering System</t>
  </si>
  <si>
    <t>Filters to address harmonics generated by HVDC convertors</t>
  </si>
  <si>
    <t>1.2.3.3.3.7</t>
  </si>
  <si>
    <t xml:space="preserve">    Substation Electrical Conversion Equipment Integration, Assembly, Testing, and Checkout</t>
  </si>
  <si>
    <t>1.2.3.3.3.8</t>
  </si>
  <si>
    <t>Costs of transporting the electrical conversion equipment from the manufacturing facility to the staging area</t>
  </si>
  <si>
    <t>1.2.3.3.4</t>
  </si>
  <si>
    <t xml:space="preserve">                Ancillary Systems</t>
  </si>
  <si>
    <t>Other elements providing necessary functions to offshore substation during operations</t>
  </si>
  <si>
    <t>1.2.3.3.4.1</t>
  </si>
  <si>
    <t xml:space="preserve">    Diesel Generator Back Up</t>
  </si>
  <si>
    <t>Generators to provide power to substation if grid connection is lost</t>
  </si>
  <si>
    <t>1.2.3.3.4.2</t>
  </si>
  <si>
    <t xml:space="preserve">    Fire Protection System</t>
  </si>
  <si>
    <t>Fire alarms and fire response equipment</t>
  </si>
  <si>
    <t>1.2.3.3.4.3</t>
  </si>
  <si>
    <t xml:space="preserve">    Water Tanks</t>
  </si>
  <si>
    <t>Fresh water tanks and pumping equip.</t>
  </si>
  <si>
    <t>1.2.3.3.4.4</t>
  </si>
  <si>
    <t xml:space="preserve">    Fuel Tanks</t>
  </si>
  <si>
    <t>Fuel tanks and pumping equip. for generator and possibly emergency fueling of service/crew transfer vessels</t>
  </si>
  <si>
    <t>1.2.3.3.4.5</t>
  </si>
  <si>
    <t xml:space="preserve">    Control &amp; Communication System </t>
  </si>
  <si>
    <t>Connects the substation with an onshore operations center, provides project operator with information about the status of substation systems and allows remote control of some functions</t>
  </si>
  <si>
    <t>1.2.3.3.4.6</t>
  </si>
  <si>
    <t xml:space="preserve">    Safety and Security Systems</t>
  </si>
  <si>
    <t>Systems including access control, to safeguard personnel from hazards arising from the installation, maintenance, or operation of substation equipment</t>
  </si>
  <si>
    <t>1.2.3.3.4.7</t>
  </si>
  <si>
    <t>Costs of transporting the ancillary systems from the manufacturing facility to the staging area</t>
  </si>
  <si>
    <t>1.2.3.4</t>
  </si>
  <si>
    <t xml:space="preserve">            Onshore Transmission Infrastructure </t>
  </si>
  <si>
    <t>Any onshore transmission or conversion equipment required to connect project to onshore grid.</t>
  </si>
  <si>
    <t>1.2.3.4.1</t>
  </si>
  <si>
    <t xml:space="preserve">                Land Leases</t>
  </si>
  <si>
    <t>Land Lease or Right of Way payments for transmission corridor prior to commercial date of operations.</t>
  </si>
  <si>
    <t>1.2.3.4.2</t>
  </si>
  <si>
    <t xml:space="preserve">                Underground Cable System</t>
  </si>
  <si>
    <t>Any underground cables required for the connection of export cables to the onshore substation.</t>
  </si>
  <si>
    <t>1.2.3.4.2.1</t>
  </si>
  <si>
    <t xml:space="preserve">    Underground Cables </t>
  </si>
  <si>
    <t>Connect export cables to the onshore substation directly or via overhead lines.</t>
  </si>
  <si>
    <t>1.2.3.4.2.2</t>
  </si>
  <si>
    <t xml:space="preserve">    Ancillary equipment</t>
  </si>
  <si>
    <t>Ancillary equipment required for underground cable system including ducts.</t>
  </si>
  <si>
    <t>1.2.3.4.3</t>
  </si>
  <si>
    <t xml:space="preserve">                Self-Supporting Towers with Insulators</t>
  </si>
  <si>
    <t>Structures to support any overhead lines required for the connection of export cables to the onshore substation.</t>
  </si>
  <si>
    <t>1.2.3.4.3.1</t>
  </si>
  <si>
    <t xml:space="preserve">    Foundations</t>
  </si>
  <si>
    <t>Support tower structures, typically reinforced concrete.</t>
  </si>
  <si>
    <t>1.2.3.4.3.2</t>
  </si>
  <si>
    <t xml:space="preserve">    Transmission Towers</t>
  </si>
  <si>
    <t>Structures to support overhead transmission lines.</t>
  </si>
  <si>
    <t>1.2.3.4.3.3</t>
  </si>
  <si>
    <t xml:space="preserve">    Insulators</t>
  </si>
  <si>
    <t>Insulating supports used to attach overhead transmission lines to the towers.</t>
  </si>
  <si>
    <t>1.2.3.4.4</t>
  </si>
  <si>
    <t xml:space="preserve">                Overhead Lines</t>
  </si>
  <si>
    <t>Lines that transmit power and enable communications with the marine energy converter project.</t>
  </si>
  <si>
    <t>1.2.3.4.4.1</t>
  </si>
  <si>
    <t xml:space="preserve">    Conductors</t>
  </si>
  <si>
    <t>Conductors that transmit power between export cable and onshore substation  (three phase system).</t>
  </si>
  <si>
    <t>1.2.3.4.4.2</t>
  </si>
  <si>
    <t xml:space="preserve">    Communications</t>
  </si>
  <si>
    <t>Fiber optic wire routed to the control center, transmits information from data acquisition system (DAS), condition monitoring system (CMS), and allows land-based control of project systems.</t>
  </si>
  <si>
    <t>1.2.3.4.4.3</t>
  </si>
  <si>
    <t xml:space="preserve">    Shield Wire</t>
  </si>
  <si>
    <t>Grounded conductor to protect phase conductors from surges (lightning).</t>
  </si>
  <si>
    <t>1.2.3.4.5</t>
  </si>
  <si>
    <t xml:space="preserve">                Onshore Substations</t>
  </si>
  <si>
    <t>Facility to house electric conversion equipment to transform or convert power from the export voltage to the onshore grid voltage.</t>
  </si>
  <si>
    <t>1.2.3.4.5.1</t>
  </si>
  <si>
    <t xml:space="preserve">    Buildings/Facilities</t>
  </si>
  <si>
    <t>Structures to house electric conversion equipment, climate controlled.</t>
  </si>
  <si>
    <t>1.2.3.4.5.2</t>
  </si>
  <si>
    <t xml:space="preserve">    Civil Infrastructure </t>
  </si>
  <si>
    <t>Improvements to construction site (e.g., roads) necessary for substation construction and operation.</t>
  </si>
  <si>
    <t>1.2.3.4.5.3</t>
  </si>
  <si>
    <t xml:space="preserve">    Electric Conversion Equipment </t>
  </si>
  <si>
    <t>Equipment to transform generated power from export cable voltage to interconnection voltage and/or convert from DC to AC (e.g.,  AC transformers, switchgears, shunt reactors, DC convertors).</t>
  </si>
  <si>
    <t>1.2.3.4.5.4</t>
  </si>
  <si>
    <t xml:space="preserve">    Ancillary Systems</t>
  </si>
  <si>
    <t>Other elements providing necessary functions to substation during operations (e.g.,  metering equipment, Safety and Security Systems, fire protection, gas detection).</t>
  </si>
  <si>
    <t>1.2.3.4.6</t>
  </si>
  <si>
    <t xml:space="preserve">                Onshore Transmission Infrastructure Transportation</t>
  </si>
  <si>
    <t>Costs of transporting the onshore transmission infrastructure components from the manufacturing facility to the staging area.</t>
  </si>
  <si>
    <t xml:space="preserve">        Plant Commissioning</t>
  </si>
  <si>
    <t>Cost incurred by owner or prime contractor to test and commission the integrated power plant.</t>
  </si>
  <si>
    <t xml:space="preserve">        Site Access, Port &amp; Staging</t>
  </si>
  <si>
    <t>Activities and physical aspects of a staging port. Elements needed to support the delivery, storage, handling, and deployment of marine energy converter (MEC) components.</t>
  </si>
  <si>
    <t>1.2.5.1</t>
  </si>
  <si>
    <t xml:space="preserve">            Facilities</t>
  </si>
  <si>
    <t>Port facilities or space leased to support the installation of the project.</t>
  </si>
  <si>
    <t>1.2.5.1.1</t>
  </si>
  <si>
    <t xml:space="preserve">                Laydown Area</t>
  </si>
  <si>
    <t>Leased space at staging port to store marine energy converter (MEC) components and foundations.</t>
  </si>
  <si>
    <t>1.2.5.1.2</t>
  </si>
  <si>
    <t xml:space="preserve">                Assembly Areas</t>
  </si>
  <si>
    <t>Leased space at staging port with high load bearing capacity to perform onshore assembly activities.</t>
  </si>
  <si>
    <t>1.2.5.1.3</t>
  </si>
  <si>
    <t xml:space="preserve">                Utilities</t>
  </si>
  <si>
    <t>Temporary power, restrooms, and water located at Facilities to be used by subcontractors during construction phase.</t>
  </si>
  <si>
    <t>1.2.5.1.4</t>
  </si>
  <si>
    <t xml:space="preserve">                Fabrication Facilities</t>
  </si>
  <si>
    <t>Workshops to support fabrication, construction or assembly of components.</t>
  </si>
  <si>
    <t>1.2.5.2</t>
  </si>
  <si>
    <t xml:space="preserve">            Cranage</t>
  </si>
  <si>
    <t>Cranage fees to use and operate crawler cranes, tower cranes, harbor cranes, self-propelled modular transporters (SPMTs) used for land-based assembly of components and load out onto installation vessels.</t>
  </si>
  <si>
    <t>1.2.5.3</t>
  </si>
  <si>
    <t xml:space="preserve">            Port Improvements</t>
  </si>
  <si>
    <t>Any improvement to existing port infrastructure paid for by project owner (e.g., quayside reinforcement).</t>
  </si>
  <si>
    <t>1.2.5.4</t>
  </si>
  <si>
    <t xml:space="preserve">            Port Fees </t>
  </si>
  <si>
    <t>Fees for vessel access, docking and loading/unloading.</t>
  </si>
  <si>
    <t>1.2.5.4.1</t>
  </si>
  <si>
    <t xml:space="preserve">                Entrance/Exit Fees</t>
  </si>
  <si>
    <t>Charges levied upon entry of vessels into the port, generally calculated on standard formula basis upon Gross Registered Ton (GRT).</t>
  </si>
  <si>
    <t>1.2.5.4.2</t>
  </si>
  <si>
    <t xml:space="preserve">                Quayside Docking Fees</t>
  </si>
  <si>
    <t>Charges levied for the use of a berth either occupied by a vessel or by pre-assembly activities.</t>
  </si>
  <si>
    <t>1.2.5.4.3</t>
  </si>
  <si>
    <t xml:space="preserve">               Wharfage Fees</t>
  </si>
  <si>
    <t>Charges for loading or unloading cargo from vessels, generally calculated by tonnage and equipment requirements for loading/unloading the cargo.</t>
  </si>
  <si>
    <t>1.2.6</t>
  </si>
  <si>
    <t xml:space="preserve">        Assembly &amp; Installation</t>
  </si>
  <si>
    <t>Assembly and installation activities conducted at the staging port and at the project site. Assume financial costs related to warranties, contractor insurance, Selling, General &amp; Administrative (SG&amp;A), profit margin, etc., are loaded in day rates for vessels, labor, and equipment.</t>
  </si>
  <si>
    <t>1.2.6.1</t>
  </si>
  <si>
    <t xml:space="preserve">            Substructures &amp; Foundations</t>
  </si>
  <si>
    <t>Vessel, labor, and equipment costs to complete installation of foundations and substructures.</t>
  </si>
  <si>
    <t>1.2.6.1.1</t>
  </si>
  <si>
    <t xml:space="preserve">                Foundation</t>
  </si>
  <si>
    <t>Vessel, labor and equipment costs to complete foundation installation procedures</t>
  </si>
  <si>
    <t>1.2.6.1.2</t>
  </si>
  <si>
    <t xml:space="preserve">                Substructure </t>
  </si>
  <si>
    <t>Vessel, labor and equipment costs to complete substructure installation procedures</t>
  </si>
  <si>
    <t>1.2.6.1.3</t>
  </si>
  <si>
    <t xml:space="preserve">                Scour Protection  </t>
  </si>
  <si>
    <t>Vessel, labor and equipment costs to complete scour protection installation procedures</t>
  </si>
  <si>
    <t>1.2.6.2</t>
  </si>
  <si>
    <t xml:space="preserve">            Marine Energy Converter Device</t>
  </si>
  <si>
    <t>Vessel, labor, and equipment costs to complete marine energy converter installation procedures for the entire project.</t>
  </si>
  <si>
    <t>1.2.6.2.1</t>
  </si>
  <si>
    <t xml:space="preserve">              Structural Assembly</t>
  </si>
  <si>
    <t>Cost to assemble and install the primary energy capture (e.g., float paddle, turbine, flap, etc.) device and supporting structural components.</t>
  </si>
  <si>
    <t>1.2.6.2.2</t>
  </si>
  <si>
    <t xml:space="preserve">              Power Conversion Chain (PCC)</t>
  </si>
  <si>
    <t>Cost to assemble and install the power conversion chain which is comprised of a drivetrain (converts the energy captured by the device into mechanical power), a generator (converts mechanical power into electrical power), short-term storage, and power electronics.</t>
  </si>
  <si>
    <t>1.2.6.3</t>
  </si>
  <si>
    <t xml:space="preserve">            Electrical Infrastructure</t>
  </si>
  <si>
    <t>Vessel, labor, and equipment costs to install electrical infrastructure.</t>
  </si>
  <si>
    <t>1.2.6.3.1</t>
  </si>
  <si>
    <t>Installation of subsea array cable system.</t>
  </si>
  <si>
    <t>1.2.6.3.1.1</t>
  </si>
  <si>
    <t xml:space="preserve">    Laying</t>
  </si>
  <si>
    <t>Vessel, labor and equipment costs to lay array cables.</t>
  </si>
  <si>
    <t>1.2.6.3.1.2</t>
  </si>
  <si>
    <t xml:space="preserve">    Trenching </t>
  </si>
  <si>
    <t>Vessel, labor and equipment costs to bury array cables.</t>
  </si>
  <si>
    <t>1.2.6.3.1.3</t>
  </si>
  <si>
    <t xml:space="preserve">    Protection</t>
  </si>
  <si>
    <t>Vessel, labor and equipment costs to protect array cables.</t>
  </si>
  <si>
    <t>1.2.6.3.1.4</t>
  </si>
  <si>
    <t xml:space="preserve">    Terminations</t>
  </si>
  <si>
    <t>Vessel, labor and equipment costs to pull array cables through J-Tubes and connect to transformers.</t>
  </si>
  <si>
    <t>1.2.6.3.2</t>
  </si>
  <si>
    <t xml:space="preserve">                Export Cables</t>
  </si>
  <si>
    <t>installation of subsea export cable system.</t>
  </si>
  <si>
    <t>1.2.6.3.2.1</t>
  </si>
  <si>
    <t xml:space="preserve">    Laying/Trenching </t>
  </si>
  <si>
    <t>Vessel, labor and equipment costs to lay and bury export cables.</t>
  </si>
  <si>
    <t>1.2.6.3.2.2</t>
  </si>
  <si>
    <t>Vessel, labor and equipment costs to protect export cables.</t>
  </si>
  <si>
    <t>1.2.6.3.2.3</t>
  </si>
  <si>
    <t>Vessel, labor and equipment costs to pull export cables through J-Tubes and connect to transformers.</t>
  </si>
  <si>
    <t>1.2.6.3.2.4</t>
  </si>
  <si>
    <t xml:space="preserve">    Landfall Operations</t>
  </si>
  <si>
    <t>Vessel, labor and equipment costs to transition export cable from subsea trench to onshore jointing pit.</t>
  </si>
  <si>
    <t>1.2.6.3.3</t>
  </si>
  <si>
    <t xml:space="preserve">                Offshore Substation(s) </t>
  </si>
  <si>
    <t>Costs of installing offshore substations at the project site.</t>
  </si>
  <si>
    <t>1.2.6.3.3.1</t>
  </si>
  <si>
    <t xml:space="preserve">    Substructure</t>
  </si>
  <si>
    <t>Vessel, labor and equipment costs to install substation substructure(s).</t>
  </si>
  <si>
    <t>1.2.6.3.3.2</t>
  </si>
  <si>
    <t xml:space="preserve">    Topside</t>
  </si>
  <si>
    <t>Vessel, labor and equipment costs to install substation topside(s).</t>
  </si>
  <si>
    <t>1.2.6.3.4</t>
  </si>
  <si>
    <t xml:space="preserve">                Offshore Accommodations Platform(s)</t>
  </si>
  <si>
    <t>Costs of installing offshore accommodations platforms at the project site.</t>
  </si>
  <si>
    <t>1.2.6.3.4.1</t>
  </si>
  <si>
    <t>Vessel, labor and equipment costs to install offshore accommodations platform substructure(s).</t>
  </si>
  <si>
    <t>1.2.6.3.4.2</t>
  </si>
  <si>
    <t>Vessel, labor and equipment costs to install offshore accommodations platform topside(s).</t>
  </si>
  <si>
    <t>1.2.6.3.5</t>
  </si>
  <si>
    <t xml:space="preserve">               Onshore Electric Infrastructure </t>
  </si>
  <si>
    <t>Onshore Electric Infrastructure: costs of installing onshore electric infrastructure.</t>
  </si>
  <si>
    <t>1.2.6.3.5.1</t>
  </si>
  <si>
    <t xml:space="preserve">     Underground Cable System</t>
  </si>
  <si>
    <t>Labor and equipment costs to install underground cables onshore.</t>
  </si>
  <si>
    <t>1.2.6.3.5.2</t>
  </si>
  <si>
    <t xml:space="preserve">    Overhead Transmission Lines</t>
  </si>
  <si>
    <t>Labor equipment costs to install overhead transmission lines.</t>
  </si>
  <si>
    <t>1.2.6.3.5.3</t>
  </si>
  <si>
    <t xml:space="preserve">    Onshore Substation</t>
  </si>
  <si>
    <t>Labor and equipment costs to install onshore substation.</t>
  </si>
  <si>
    <t>1.2.7</t>
  </si>
  <si>
    <t xml:space="preserve">        Other Infrastructure</t>
  </si>
  <si>
    <t>Other capital investments made by the project company prior to commercial operation date (COD).</t>
  </si>
  <si>
    <t>1.2.7.1</t>
  </si>
  <si>
    <t xml:space="preserve">            Offshore Accommodations Platform(s)</t>
  </si>
  <si>
    <t>Permanent platform(s) at the project site to house project personnel during operations.</t>
  </si>
  <si>
    <t>1.2.7.2</t>
  </si>
  <si>
    <t xml:space="preserve">            Dedicated O&amp;M Vessel(s)</t>
  </si>
  <si>
    <t>New build vessels owned by the project company that will be used exclusively to support operations at project.</t>
  </si>
  <si>
    <t>1.2.7.3</t>
  </si>
  <si>
    <t xml:space="preserve">            Onshore O&amp;M Facilities </t>
  </si>
  <si>
    <t>Facilities on land, owned by the project company, to support the operation of the project.</t>
  </si>
  <si>
    <t>1.2.7.4</t>
  </si>
  <si>
    <t xml:space="preserve">            O&amp;M Equipment Purchases</t>
  </si>
  <si>
    <t>Other purchases necessary for the operation of the marine energy converter project after commercial operation date (COD). Examples include: safety equipment (e.g., harnesses, floatation devices), equipment to store replacement parts (e.g., climate control for spare electric cables), vehicles to support operations (e.g., fork trucks).</t>
  </si>
  <si>
    <t>1.2.7.5</t>
  </si>
  <si>
    <t xml:space="preserve">            Other Infrastructure Transportation</t>
  </si>
  <si>
    <t>Cost of transporting other infrastructure components from the manufacturing facility to the staging area.</t>
  </si>
  <si>
    <t>1.2.8</t>
  </si>
  <si>
    <t xml:space="preserve">        Substructure &amp; Foundation</t>
  </si>
  <si>
    <t>All elements of the marine energy converter substructure and foundation.</t>
  </si>
  <si>
    <t>1.2.8.1</t>
  </si>
  <si>
    <t xml:space="preserve">            Substructure</t>
  </si>
  <si>
    <t>Main structure that connects the foundation to the marine energy converter.</t>
  </si>
  <si>
    <t>1.2.8.1.1</t>
  </si>
  <si>
    <t xml:space="preserve">                Primary Structure</t>
  </si>
  <si>
    <t>Structural steel or other material.</t>
  </si>
  <si>
    <t>1.2.8.1.2</t>
  </si>
  <si>
    <t xml:space="preserve">                Fasteners</t>
  </si>
  <si>
    <t>Hardware to secure connections between substructure &amp; foundation elements.</t>
  </si>
  <si>
    <t>1.2.8.1.3</t>
  </si>
  <si>
    <t xml:space="preserve">                Grout, Grout Lines, and Seals</t>
  </si>
  <si>
    <t>Grout and ancillary equipment to secure connections between substructure &amp; foundation elements.</t>
  </si>
  <si>
    <t>1.2.8.1.4</t>
  </si>
  <si>
    <t xml:space="preserve">                Marine Coatings</t>
  </si>
  <si>
    <t>Anti-corrosion marine coatings applied to substructure elements.</t>
  </si>
  <si>
    <t>1.2.8.2</t>
  </si>
  <si>
    <t xml:space="preserve">            Foundation</t>
  </si>
  <si>
    <t>Main structural interface that transfers loads into seabed.</t>
  </si>
  <si>
    <t>1.2.8.2.1</t>
  </si>
  <si>
    <t xml:space="preserve">                Bedding Stones</t>
  </si>
  <si>
    <t>Layers of gravel and stone to provide a stable and level surface on which to place anchors.</t>
  </si>
  <si>
    <t>1.2.8.2.2</t>
  </si>
  <si>
    <t xml:space="preserve">                Piles</t>
  </si>
  <si>
    <t>Steel pipes driven into seabed to provide support and transfer loads acting on marine energy system into seabed.</t>
  </si>
  <si>
    <t>1.2.8.2.3</t>
  </si>
  <si>
    <t xml:space="preserve">                Anchors</t>
  </si>
  <si>
    <t>Anchors are installed below mudline and transfer loads into the seabed.</t>
  </si>
  <si>
    <t>1.2.8.2.4</t>
  </si>
  <si>
    <t xml:space="preserve">                Mooring Lines</t>
  </si>
  <si>
    <t>Chain, wire, or synthetic fiber ropes to connect marine energy converter with anchors on the seabed.</t>
  </si>
  <si>
    <t>1.2.8.2.5</t>
  </si>
  <si>
    <t xml:space="preserve">               Connecting Hardware</t>
  </si>
  <si>
    <t>Connectors required to attach the mooring lines to anchors and marine energy converter.</t>
  </si>
  <si>
    <t>1.2.8.2.6</t>
  </si>
  <si>
    <t xml:space="preserve">               Messenger Lines &amp; Buoys</t>
  </si>
  <si>
    <t>Ancillary equipment used during the installation of the mooring system.</t>
  </si>
  <si>
    <t>1.2.8.3</t>
  </si>
  <si>
    <t xml:space="preserve">           Outfitting Steel</t>
  </si>
  <si>
    <t>Additional non-structural elements attached to substructure elements.</t>
  </si>
  <si>
    <t>1.2.8.3.1</t>
  </si>
  <si>
    <t xml:space="preserve">                Vessel Landing </t>
  </si>
  <si>
    <t>Provides interface between maintenance vessels and substructure to enable safe personnel access.</t>
  </si>
  <si>
    <t>1.2.8.3.2</t>
  </si>
  <si>
    <t xml:space="preserve">                Service Platforms and Decks</t>
  </si>
  <si>
    <t>Provides work platform for maintenance activities.</t>
  </si>
  <si>
    <t>1.2.8.3.3</t>
  </si>
  <si>
    <t xml:space="preserve">                Ladders</t>
  </si>
  <si>
    <t>Provides access from the vessel landing to the deck.</t>
  </si>
  <si>
    <t>1.2.8.3.4</t>
  </si>
  <si>
    <t xml:space="preserve">                Railings</t>
  </si>
  <si>
    <t>Encloses the deck to provide a safe working environment for personnel.</t>
  </si>
  <si>
    <t>1.2.8.3.5</t>
  </si>
  <si>
    <t>Anti-corrosion marine coatings applied to any outfitting steel elements.</t>
  </si>
  <si>
    <t>1.2.8.4</t>
  </si>
  <si>
    <t>Ancillary systems for marine operations.</t>
  </si>
  <si>
    <t>1.2.8.4.1</t>
  </si>
  <si>
    <t xml:space="preserve">                Cathodic Protection System</t>
  </si>
  <si>
    <t xml:space="preserve">Active (impressed current) or passive (anodes) cathodic protection system. </t>
  </si>
  <si>
    <t>1.2.8.4.2</t>
  </si>
  <si>
    <t xml:space="preserve">                 Personnel Access System</t>
  </si>
  <si>
    <t>Equipment installed on vessel landing, ladders, and deck to facilitate safe access to the marine energy converter (MEC).</t>
  </si>
  <si>
    <t>1.2.8.4.3</t>
  </si>
  <si>
    <t xml:space="preserve">                 Ballast System</t>
  </si>
  <si>
    <t>1.2.8.4.4</t>
  </si>
  <si>
    <t xml:space="preserve">                  Condition Monitoring </t>
  </si>
  <si>
    <t>Systems to monitor and control substructure systems (e.g., variable ballast).</t>
  </si>
  <si>
    <t>1.2.8.5</t>
  </si>
  <si>
    <t xml:space="preserve">           Scour Protection</t>
  </si>
  <si>
    <t>Rock fill or concrete mattresses to protect substructures from scouring (caused by currents).</t>
  </si>
  <si>
    <t>1.2.8.6</t>
  </si>
  <si>
    <t xml:space="preserve">           Substructure &amp; Foundation Integration, Assembly, Testing, and Checkout</t>
  </si>
  <si>
    <t>Activities performed by manufacturer to integrate, assemble, test, and checkout for the foundation and substructure before  delivery to customer. Does not include commissioning activities.</t>
  </si>
  <si>
    <t>1.2.8.7</t>
  </si>
  <si>
    <t xml:space="preserve">           Substructure &amp; Foundation Transportation</t>
  </si>
  <si>
    <t>Costs of transporting substructure and foundation components from the manufacturing facility to the staging area.</t>
  </si>
  <si>
    <t xml:space="preserve">    Financial Costs</t>
  </si>
  <si>
    <t>Financial expenditures for which the project owner is responsible prior to commercial operation date (COD), related to either payments for financial products, carrying charges on loans, or setting up financial instruments.</t>
  </si>
  <si>
    <t xml:space="preserve">        Project Contingency Budget</t>
  </si>
  <si>
    <t>Liquid financial instrument set up to respond to "known unknown" costs that arise during construction, does not include contingences set by manufactures and contractors as part of supply contract pricing.</t>
  </si>
  <si>
    <t xml:space="preserve">        Insurance During Construction</t>
  </si>
  <si>
    <t>Insurance policies held by owner during construction period, can include construction all risk, marine cargo, commercial general liability, workers compensation, environmental site liability, pollution liability, etc. Does not include insurance held by contractors.</t>
  </si>
  <si>
    <t xml:space="preserve">        Carrying Costs During Construction (Construction Financing Costs)</t>
  </si>
  <si>
    <t>Carrying charges of expenditures on equipment and services incurred before commercial operation date (COD).</t>
  </si>
  <si>
    <t xml:space="preserve">        Reserve Accounts</t>
  </si>
  <si>
    <t>Payments (before commissioning) into reserve accounts. Generally required by either financiers or regulators.</t>
  </si>
  <si>
    <t>1.3.4.1</t>
  </si>
  <si>
    <t xml:space="preserve">            Maintenance Reserve Account</t>
  </si>
  <si>
    <t>Payments (before commissioning) into reserve accounts set up to cover major maintenance expenditures (MRAs), often required by debt service providers.</t>
  </si>
  <si>
    <t>1.3.4.2</t>
  </si>
  <si>
    <t xml:space="preserve">            Debt Service Reserve Account</t>
  </si>
  <si>
    <t>Payments (before commissioning) into reserve accounts set up to cover debt service expenditures (DSRAs), often required by debt service providers.</t>
  </si>
  <si>
    <t>1.3.4.3</t>
  </si>
  <si>
    <t xml:space="preserve">            Decommissioning Reserve Account</t>
  </si>
  <si>
    <t xml:space="preserve">Payments (before commissioning) into reserve accounts to fund project decommissioning obligations (e.g., surety bonds). </t>
  </si>
  <si>
    <t>Operations and Maintenance (O&amp;M) [$/kW/yr]</t>
  </si>
  <si>
    <t>Operational Expenditures (OPEX)</t>
  </si>
  <si>
    <t>Expenditures required to operate the project and maintain availability. These expenditures are generally annualized.</t>
  </si>
  <si>
    <t xml:space="preserve">    Operations</t>
  </si>
  <si>
    <t xml:space="preserve">Operations is defined as non-equipment costs of operations for the project. </t>
  </si>
  <si>
    <t>2.1.1</t>
  </si>
  <si>
    <t xml:space="preserve">        Environmental, Health and Safety Monitoring</t>
  </si>
  <si>
    <t>Coordination and monitoring to ensure compliance with health, safety, and environmental (HSE) requirements during construction.</t>
  </si>
  <si>
    <t>2.1.1.1</t>
  </si>
  <si>
    <t xml:space="preserve">            Health, Safety Monitoring</t>
  </si>
  <si>
    <t>Coordination and monitoring to ensure compliance with health and safety requirements during operations.</t>
  </si>
  <si>
    <t>2.1.1.2</t>
  </si>
  <si>
    <t xml:space="preserve">            Environmental Monitoring</t>
  </si>
  <si>
    <t>Coordination and monitoring to ensure compliance with environmental requirement during operations. Includes post-construction survey activities.</t>
  </si>
  <si>
    <t>2.1.2</t>
  </si>
  <si>
    <t xml:space="preserve">        Annual Leases/Fees/Costs of Doing Business</t>
  </si>
  <si>
    <t>Ongoing payments, including but not limited to: payments to regulatory body for permission to operate at project site (terms defined within lease); payments to Transmissions Systems Operators or Transmission Asset Owners for rights to transport generated power.</t>
  </si>
  <si>
    <t>2.1.2.1</t>
  </si>
  <si>
    <t xml:space="preserve">            Submerged land-lease</t>
  </si>
  <si>
    <t>Payments to the state or federal regulatory authorities for rights to operate marine energy converter project on publically owned seabed or lakebed.</t>
  </si>
  <si>
    <t>2.1.2.2</t>
  </si>
  <si>
    <t xml:space="preserve">            Onshore land-lease</t>
  </si>
  <si>
    <t>Payments to land owners for rights to operate transmission lines, onshore substation, or other facilities.</t>
  </si>
  <si>
    <t>2.1.2.3</t>
  </si>
  <si>
    <t xml:space="preserve">            Transmission Charges/Rights</t>
  </si>
  <si>
    <t>Any payments to Transmissions Systems Operators or Transmission Asset Owners for rights to transport generated power.</t>
  </si>
  <si>
    <t>2.1.2.4</t>
  </si>
  <si>
    <t xml:space="preserve">            Federal Energy Regulatory Commission (FERC) Fees</t>
  </si>
  <si>
    <t>Fees paid to Federal Energy Regulatory Commission (FERC) during operations.</t>
  </si>
  <si>
    <t>2.1.3</t>
  </si>
  <si>
    <t xml:space="preserve">        Insurance</t>
  </si>
  <si>
    <t>Insurance policies held by project company or operations manager during operational period.</t>
  </si>
  <si>
    <t>2.1.4</t>
  </si>
  <si>
    <t xml:space="preserve">        Operations, Management, and General Administration</t>
  </si>
  <si>
    <t>Activities necessary to forecast, dispatch, sell, and manage the production of power from the plant.  Includes both on-site and off-site personnel, software, and equipment to coordinate high voltage equipment, switching, port activities, marine activities, weather forecasting.</t>
  </si>
  <si>
    <t>2.1.4.1</t>
  </si>
  <si>
    <t xml:space="preserve">             Generation Planning and Integration</t>
  </si>
  <si>
    <t>Efforts to forecast, sell, and dispatch power generated by the facility.</t>
  </si>
  <si>
    <t>2.1.4.2</t>
  </si>
  <si>
    <t xml:space="preserve">             Operating Facilities</t>
  </si>
  <si>
    <t>Co-located offices, parts store and quayside facility,  helicopter facilities, etc.</t>
  </si>
  <si>
    <t>2.1.4.3</t>
  </si>
  <si>
    <t xml:space="preserve">             Operating Equipment</t>
  </si>
  <si>
    <t>Lease payments for operating equipment held by the project to support operations (e.g., cranes, fork trucks).</t>
  </si>
  <si>
    <t>2.1.4.4</t>
  </si>
  <si>
    <t xml:space="preserve">            Sales, General, &amp; Administrative</t>
  </si>
  <si>
    <t>Includes financial reporting, public relations, procurement, parts and stock management, Health, Safety, and Environment (HS&amp;E) management, training, subcontracts and general administration.</t>
  </si>
  <si>
    <t>2.1.4.5</t>
  </si>
  <si>
    <t xml:space="preserve">            Marine Energy Converter Power Consumption</t>
  </si>
  <si>
    <t>Charges for power drawn from the grid by the marine hydrokinetic project (e.g., marine energy converter, substation) during operation.</t>
  </si>
  <si>
    <t>2.1.4.6</t>
  </si>
  <si>
    <t xml:space="preserve">            Weather Forecasting</t>
  </si>
  <si>
    <t>Daily 96 hour forecast of metocean conditions used to plan maintenance visits and project power production.</t>
  </si>
  <si>
    <t>2.1.4.7</t>
  </si>
  <si>
    <t xml:space="preserve">            Marine Management</t>
  </si>
  <si>
    <t>Coordination of port equipment, vessels, and personnel to carry out maintenance and inspections of generation and transmission equipment.</t>
  </si>
  <si>
    <t>2.1.4.8</t>
  </si>
  <si>
    <t xml:space="preserve">            Condition Monitoring</t>
  </si>
  <si>
    <t>Monitoring of SCADA data from marine energy converter components to optimize performance and identify component faults.</t>
  </si>
  <si>
    <t>2.1.4.9</t>
  </si>
  <si>
    <t xml:space="preserve">            Operating Margin</t>
  </si>
  <si>
    <t>Any margin earned by an independent operations management company.</t>
  </si>
  <si>
    <t>2.1.4.10</t>
  </si>
  <si>
    <t>Legal support, external consultants, accounting, etc., during operation.</t>
  </si>
  <si>
    <t xml:space="preserve">    Maintenance</t>
  </si>
  <si>
    <t>Vessel, labor, and equipment costs of operations for the project.</t>
  </si>
  <si>
    <t>2.2.1</t>
  </si>
  <si>
    <t xml:space="preserve">        Long Term Service Agreement</t>
  </si>
  <si>
    <t>Annualized cost of a contract, generally between the owner and marine energy converter OEM or Third Party, to maintain the water power project at a guaranteed level of availability for a defined period, will likely replace scheduled and unscheduled maintenance categories below for duration of contract</t>
  </si>
  <si>
    <t>2.2.2</t>
  </si>
  <si>
    <t xml:space="preserve">        Scheduled Maintenance</t>
  </si>
  <si>
    <t>Planned and routine activities to ensure that marine energy converters, substructures, and all related systems are operating correctly, at optimal efficiency, and to minimize unscheduled breakdowns/downtime, includes cost of vessels, labor, equipment, spare parts and consumables. Sometimes referred to as preventative maintenance.</t>
  </si>
  <si>
    <t>2.2.2.1</t>
  </si>
  <si>
    <t xml:space="preserve">            Marine Energy Converter Scheduled Maintenance</t>
  </si>
  <si>
    <t>Planned maintenance activities for marine energy converter systems.</t>
  </si>
  <si>
    <t>2.2.2.1.1</t>
  </si>
  <si>
    <t xml:space="preserve">                Structural Assembly Scheduled Maintenance</t>
  </si>
  <si>
    <t>Planned maintenance activities to the structural assembly.</t>
  </si>
  <si>
    <t>2.2.2.1.2</t>
  </si>
  <si>
    <t xml:space="preserve">                Power Conversion Chain (PCC) Scheduled Maintenance</t>
  </si>
  <si>
    <t>Planned maintenance activities to the power conversion chain.</t>
  </si>
  <si>
    <t>2.2.2.2</t>
  </si>
  <si>
    <t xml:space="preserve">            Balance of System (BOS) Scheduled Maintenance</t>
  </si>
  <si>
    <t>Planned maintenance activities for balance of system.</t>
  </si>
  <si>
    <t>2.2.2.2.1</t>
  </si>
  <si>
    <t xml:space="preserve">                Regular Cable Surveys</t>
  </si>
  <si>
    <t xml:space="preserve">Surveys of array and export cable routes to ensure coverage and determine cable burial depth. </t>
  </si>
  <si>
    <t>2.2.2.2.2</t>
  </si>
  <si>
    <t xml:space="preserve">                Substructure &amp; Foundation Inspections</t>
  </si>
  <si>
    <t xml:space="preserve">Inspections covering above water and under-water aspects of the substructure and foundation as well as the integrity of the cathodic protection system maintenance. </t>
  </si>
  <si>
    <t>2.2.2.2.3</t>
  </si>
  <si>
    <t xml:space="preserve">                Electrical Transforming Equipment Inspection</t>
  </si>
  <si>
    <t>Inspections of switchgears, transformers and back-up power supply.</t>
  </si>
  <si>
    <t>2.2.2.2.4</t>
  </si>
  <si>
    <t xml:space="preserve">               Direct Current (DC) Convertor Inspection</t>
  </si>
  <si>
    <t>Inspection of DC convertor equipment and filtering equipment.</t>
  </si>
  <si>
    <t>2.2.2.2.5</t>
  </si>
  <si>
    <t xml:space="preserve">               Onshore Electric Infrastructure</t>
  </si>
  <si>
    <t>Inspections of switchgear, transformers and any connections.</t>
  </si>
  <si>
    <t>2.2.3</t>
  </si>
  <si>
    <t xml:space="preserve">        Unscheduled Maintenance</t>
  </si>
  <si>
    <t>Interventions and other activities to respond to random failures. Costs include equipment and  vessels, labor, replacement parts, and consumables. Also known as corrective maintenance.</t>
  </si>
  <si>
    <t>2.2.3.1</t>
  </si>
  <si>
    <t xml:space="preserve">            Marine Energy Converter Unscheduled Maintenance</t>
  </si>
  <si>
    <t>Unplanned maintenance activities for marine energy converter systems.</t>
  </si>
  <si>
    <t>2.2.3.1.1</t>
  </si>
  <si>
    <t xml:space="preserve">                Structural Assembly Unscheduled Maintenance</t>
  </si>
  <si>
    <t>Unplanned maintenance activities to the structural assembly.</t>
  </si>
  <si>
    <t>2.2.3.1.2</t>
  </si>
  <si>
    <t xml:space="preserve">                Power Conversion Chain (PCC) Unscheduled Maintenance</t>
  </si>
  <si>
    <t>Unplanned maintenance activities to the power conversion chain.</t>
  </si>
  <si>
    <t>2.2.3.2</t>
  </si>
  <si>
    <t xml:space="preserve">            Balance of System (BOS) Unscheduled Maintenance</t>
  </si>
  <si>
    <t>Unplanned maintenance activities for balance of system.</t>
  </si>
  <si>
    <t>2.2.3.2.1</t>
  </si>
  <si>
    <t>2.2.3.2.2</t>
  </si>
  <si>
    <t>2.2.3.2.3</t>
  </si>
  <si>
    <t>2.2.3.2.4</t>
  </si>
  <si>
    <t>2.2.3.3</t>
  </si>
  <si>
    <t xml:space="preserve">            Unscheduled Maintenance Contingency</t>
  </si>
  <si>
    <t>Liquid financial instrument set up to respond to "known unknown" costs that arise during maintenance.</t>
  </si>
  <si>
    <t>PLEASE SEND COMMENTS OR QUESTIONS about this CBS to:</t>
  </si>
  <si>
    <t>National Renewable Energy Laboratory: Ben Maples (Ben.Maples@nrel.gov, 303-384-7137)</t>
  </si>
  <si>
    <t>1. This spreadsheet provides an LCoE baseline for the OE Buoy in Support of the Controls Optimization Project</t>
  </si>
  <si>
    <t>FCR</t>
  </si>
  <si>
    <t>Cap Factor</t>
  </si>
  <si>
    <t>$/kW</t>
  </si>
  <si>
    <t>LCoE (c/kWh)</t>
  </si>
  <si>
    <t>$/kW-yr</t>
  </si>
  <si>
    <t>c/kWh</t>
  </si>
  <si>
    <t>Total CoE</t>
  </si>
  <si>
    <t>Note: Includes directionality efficiency of 70%</t>
  </si>
  <si>
    <t>2. Cost Estimates provided herein are based on concept design and basic engineering data and have high levels of uncertainties embedded</t>
  </si>
  <si>
    <t>3. This reference economic scenario was done for a very large device version of the OE Buoy technology, which is not presently on Ocean Energy's technology development pathway but will be considered in future business plan development</t>
  </si>
  <si>
    <t>4. The DoE reference site condition is considered a low power-density site, compared with many of the planned initial deployment locations for the OE Buoy. Many of the sites considered for the initial commercial deployment of the OE buoy feature much higher wave power densities and shorter period waves. Both of these characteristics will improve the OE buoy's commercial viability.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</si>
</sst>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409]#,##0_);\([$$-409]#,##0\)"/>
    <numFmt numFmtId="174" formatCode="0.000000000000000%"/>
    <numFmt numFmtId="175" formatCode="#,##0.0_);\(#,##0.0\)"/>
    <numFmt numFmtId="176" formatCode="0.00000%"/>
    <numFmt numFmtId="177" formatCode="_(&quot;$&quot;* #,##0.0_);_(&quot;$&quot;* \(#,##0.0\);_(&quot;$&quot;* &quot;-&quot;??_);_(@_)"/>
  </numFmts>
  <fonts count="58"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i/>
      <sz val="11"/>
      <color theme="1"/>
      <name val="Calibri"/>
      <family val="2"/>
      <scheme val="minor"/>
    </font>
    <font>
      <u/>
      <sz val="11"/>
      <color theme="10"/>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b/>
      <sz val="10"/>
      <color theme="1"/>
      <name val="Arial"/>
      <family val="2"/>
    </font>
    <font>
      <sz val="12"/>
      <color indexed="8"/>
      <name val="Calibri"/>
      <family val="2"/>
    </font>
    <font>
      <sz val="11"/>
      <color rgb="FFFF0000"/>
      <name val="Calibri"/>
      <family val="2"/>
      <scheme val="minor"/>
    </font>
    <font>
      <b/>
      <sz val="10"/>
      <name val="Times New Roman"/>
      <family val="1"/>
    </font>
    <font>
      <sz val="10"/>
      <name val="Times New Roman"/>
      <family val="1"/>
    </font>
    <font>
      <i/>
      <sz val="10"/>
      <name val="Times New Roman"/>
      <family val="1"/>
    </font>
    <font>
      <sz val="11"/>
      <color theme="1"/>
      <name val="Times New Roman"/>
      <family val="1"/>
    </font>
    <font>
      <sz val="11"/>
      <color theme="0"/>
      <name val="Calibri"/>
      <family val="2"/>
      <scheme val="minor"/>
    </font>
    <font>
      <sz val="10"/>
      <color rgb="FFFF0000"/>
      <name val="Arial"/>
      <family val="2"/>
    </font>
    <font>
      <sz val="14"/>
      <color theme="0"/>
      <name val="Calibri"/>
      <family val="2"/>
      <scheme val="minor"/>
    </font>
    <font>
      <sz val="10"/>
      <color theme="1"/>
      <name val="Calibri"/>
      <family val="2"/>
      <scheme val="minor"/>
    </font>
    <font>
      <b/>
      <u/>
      <sz val="16"/>
      <color theme="0"/>
      <name val="Calibri"/>
      <family val="2"/>
      <scheme val="minor"/>
    </font>
    <font>
      <sz val="10"/>
      <color theme="0"/>
      <name val="Calibri"/>
      <family val="2"/>
      <scheme val="minor"/>
    </font>
    <font>
      <i/>
      <sz val="10"/>
      <color theme="2" tint="-0.499984740745262"/>
      <name val="Calibri"/>
      <family val="2"/>
      <scheme val="minor"/>
    </font>
    <font>
      <sz val="12"/>
      <color theme="1"/>
      <name val="Calibri"/>
      <family val="2"/>
      <scheme val="minor"/>
    </font>
    <font>
      <sz val="11"/>
      <color rgb="FF000000"/>
      <name val="Calibri"/>
      <family val="2"/>
      <scheme val="minor"/>
    </font>
    <font>
      <u/>
      <sz val="11"/>
      <color theme="1"/>
      <name val="Calibri"/>
      <family val="2"/>
      <scheme val="minor"/>
    </font>
    <font>
      <sz val="10.5"/>
      <color theme="1"/>
      <name val="Calibri"/>
      <family val="2"/>
      <scheme val="minor"/>
    </font>
    <font>
      <sz val="11"/>
      <color rgb="FF0070C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rgb="FF000000"/>
      </patternFill>
    </fill>
    <fill>
      <patternFill patternType="solid">
        <fgColor rgb="FFB1A0C7"/>
        <bgColor rgb="FF000000"/>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bottom/>
      <diagonal/>
    </border>
    <border>
      <left style="medium">
        <color theme="6" tint="-0.249977111117893"/>
      </left>
      <right/>
      <top style="medium">
        <color theme="6" tint="-0.249977111117893"/>
      </top>
      <bottom/>
      <diagonal/>
    </border>
    <border>
      <left/>
      <right/>
      <top style="medium">
        <color theme="6" tint="-0.249977111117893"/>
      </top>
      <bottom/>
      <diagonal/>
    </border>
    <border>
      <left/>
      <right style="medium">
        <color theme="6" tint="-0.249977111117893"/>
      </right>
      <top style="medium">
        <color theme="6" tint="-0.249977111117893"/>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style="thin">
        <color indexed="64"/>
      </bottom>
      <diagonal/>
    </border>
    <border>
      <left/>
      <right/>
      <top/>
      <bottom style="medium">
        <color theme="0"/>
      </bottom>
      <diagonal/>
    </border>
    <border>
      <left/>
      <right/>
      <top/>
      <bottom style="thin">
        <color rgb="FFFFFFFF"/>
      </bottom>
      <diagonal/>
    </border>
    <border>
      <left/>
      <right/>
      <top/>
      <bottom style="medium">
        <color rgb="FFFFFFFF"/>
      </bottom>
      <diagonal/>
    </border>
  </borders>
  <cellStyleXfs count="153">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9" fontId="2" fillId="0" borderId="0" applyFont="0" applyFill="0" applyBorder="0" applyAlignment="0" applyProtection="0"/>
    <xf numFmtId="0" fontId="53" fillId="0" borderId="0"/>
    <xf numFmtId="0" fontId="4" fillId="0" borderId="0"/>
  </cellStyleXfs>
  <cellXfs count="802">
    <xf numFmtId="0" fontId="0" fillId="0" borderId="0" xfId="0"/>
    <xf numFmtId="0" fontId="0" fillId="0" borderId="0" xfId="0" applyAlignment="1">
      <alignment horizontal="left"/>
    </xf>
    <xf numFmtId="0" fontId="0" fillId="0" borderId="0" xfId="0" applyNumberFormat="1" applyAlignment="1">
      <alignment horizontal="left"/>
    </xf>
    <xf numFmtId="0" fontId="1" fillId="0" borderId="0" xfId="0" applyFont="1" applyAlignment="1">
      <alignment horizontal="left"/>
    </xf>
    <xf numFmtId="42" fontId="0" fillId="0" borderId="0" xfId="0" applyNumberFormat="1" applyFill="1"/>
    <xf numFmtId="0" fontId="0" fillId="0" borderId="0" xfId="0" applyFill="1"/>
    <xf numFmtId="0" fontId="0" fillId="0" borderId="0" xfId="0"/>
    <xf numFmtId="165" fontId="0" fillId="0" borderId="0" xfId="0" applyNumberFormat="1"/>
    <xf numFmtId="42" fontId="0" fillId="0" borderId="0" xfId="0" applyNumberFormat="1"/>
    <xf numFmtId="0" fontId="3" fillId="0" borderId="0" xfId="0" applyFont="1"/>
    <xf numFmtId="44" fontId="0" fillId="0" borderId="0" xfId="0" applyNumberForma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0" fontId="0" fillId="0" borderId="17" xfId="0" applyBorder="1"/>
    <xf numFmtId="165" fontId="0" fillId="0" borderId="17" xfId="0" applyNumberFormat="1" applyBorder="1"/>
    <xf numFmtId="167" fontId="0" fillId="0" borderId="0" xfId="0" applyNumberFormat="1"/>
    <xf numFmtId="10" fontId="0" fillId="0" borderId="0" xfId="0" applyNumberFormat="1"/>
    <xf numFmtId="0" fontId="0" fillId="24" borderId="0" xfId="0" applyFill="1"/>
    <xf numFmtId="0" fontId="0" fillId="0" borderId="17" xfId="0" applyFont="1" applyBorder="1"/>
    <xf numFmtId="3" fontId="0" fillId="0" borderId="0" xfId="0" applyNumberForma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2" fontId="0" fillId="0" borderId="0" xfId="0" applyNumberFormat="1"/>
    <xf numFmtId="3" fontId="0" fillId="0" borderId="0" xfId="0" applyNumberFormat="1" applyFill="1"/>
    <xf numFmtId="0" fontId="26" fillId="0" borderId="0" xfId="0" applyNumberFormat="1" applyFont="1" applyFill="1" applyBorder="1" applyAlignment="1" applyProtection="1">
      <alignment horizontal="center"/>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0" fontId="0" fillId="0" borderId="0" xfId="0" applyFont="1" applyBorder="1" applyAlignment="1">
      <alignment horizontal="left"/>
    </xf>
    <xf numFmtId="0" fontId="27" fillId="0" borderId="0" xfId="0" applyFont="1" applyBorder="1" applyAlignment="1">
      <alignment vertical="top" wrapText="1"/>
    </xf>
    <xf numFmtId="0" fontId="0" fillId="0" borderId="0" xfId="0" applyFont="1" applyBorder="1" applyAlignment="1"/>
    <xf numFmtId="0" fontId="27"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42" fontId="3" fillId="0" borderId="0" xfId="0" applyNumberFormat="1" applyFont="1" applyFill="1"/>
    <xf numFmtId="0" fontId="0" fillId="0" borderId="0" xfId="0"/>
    <xf numFmtId="0" fontId="3" fillId="0" borderId="0" xfId="0" applyFont="1" applyAlignment="1">
      <alignment horizontal="left"/>
    </xf>
    <xf numFmtId="1" fontId="0" fillId="0" borderId="0" xfId="0" applyNumberFormat="1" applyBorder="1"/>
    <xf numFmtId="0" fontId="0" fillId="0" borderId="20" xfId="0" applyBorder="1"/>
    <xf numFmtId="0" fontId="0" fillId="0" borderId="20" xfId="0" applyBorder="1" applyAlignment="1">
      <alignment horizontal="left" vertical="center"/>
    </xf>
    <xf numFmtId="0" fontId="0" fillId="0" borderId="0" xfId="0" applyAlignment="1">
      <alignment vertical="center"/>
    </xf>
    <xf numFmtId="0" fontId="30" fillId="0" borderId="0" xfId="0" applyFont="1"/>
    <xf numFmtId="0" fontId="0" fillId="0" borderId="0" xfId="0" applyFont="1" applyFill="1"/>
    <xf numFmtId="0" fontId="0" fillId="0" borderId="17" xfId="0" applyFill="1" applyBorder="1"/>
    <xf numFmtId="169" fontId="0" fillId="0" borderId="0" xfId="0" applyNumberFormat="1"/>
    <xf numFmtId="0" fontId="3" fillId="0" borderId="0" xfId="0" applyFont="1" applyFill="1"/>
    <xf numFmtId="0" fontId="0" fillId="0" borderId="0" xfId="0" applyFont="1" applyAlignment="1">
      <alignment horizontal="right"/>
    </xf>
    <xf numFmtId="0" fontId="0" fillId="0" borderId="0" xfId="0" applyFont="1" applyAlignment="1">
      <alignment horizontal="left"/>
    </xf>
    <xf numFmtId="165" fontId="0" fillId="0" borderId="0" xfId="0" applyNumberFormat="1" applyAlignment="1">
      <alignment horizontal="right"/>
    </xf>
    <xf numFmtId="3" fontId="0" fillId="0" borderId="0" xfId="0" applyNumberFormat="1" applyFill="1" applyBorder="1"/>
    <xf numFmtId="42" fontId="0" fillId="0" borderId="0" xfId="0" applyNumberFormat="1" applyFont="1" applyFill="1"/>
    <xf numFmtId="42" fontId="22" fillId="0" borderId="0" xfId="0" applyNumberFormat="1" applyFont="1" applyFill="1"/>
    <xf numFmtId="9" fontId="3" fillId="0" borderId="0" xfId="0" applyNumberFormat="1" applyFont="1" applyFill="1"/>
    <xf numFmtId="166" fontId="0" fillId="0" borderId="0" xfId="0" applyNumberForma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2" fillId="0" borderId="0" xfId="0" applyFont="1"/>
    <xf numFmtId="0" fontId="32" fillId="0" borderId="0" xfId="0" applyFont="1" applyAlignment="1">
      <alignment horizontal="left"/>
    </xf>
    <xf numFmtId="0" fontId="5" fillId="0" borderId="17" xfId="0" applyFont="1" applyBorder="1" applyAlignment="1">
      <alignment vertical="top" wrapText="1"/>
    </xf>
    <xf numFmtId="0" fontId="27" fillId="0" borderId="17"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7" xfId="0" applyNumberFormat="1" applyBorder="1"/>
    <xf numFmtId="42" fontId="0" fillId="0" borderId="0" xfId="133" applyNumberFormat="1" applyFont="1"/>
    <xf numFmtId="9" fontId="28" fillId="0" borderId="0" xfId="0" applyNumberFormat="1" applyFont="1" applyBorder="1"/>
    <xf numFmtId="42" fontId="0" fillId="0" borderId="17" xfId="133" applyNumberFormat="1" applyFont="1" applyBorder="1"/>
    <xf numFmtId="165" fontId="0" fillId="0" borderId="0" xfId="0" applyNumberFormat="1" applyFont="1"/>
    <xf numFmtId="0" fontId="0" fillId="0" borderId="17" xfId="0" applyFont="1" applyFill="1" applyBorder="1"/>
    <xf numFmtId="169" fontId="0" fillId="0" borderId="0" xfId="133" applyNumberFormat="1" applyFont="1"/>
    <xf numFmtId="169" fontId="0" fillId="0" borderId="17" xfId="133" applyNumberFormat="1" applyFont="1" applyBorder="1"/>
    <xf numFmtId="3" fontId="29" fillId="0" borderId="0" xfId="0" applyNumberFormat="1" applyFont="1"/>
    <xf numFmtId="169" fontId="3" fillId="0" borderId="0" xfId="0" applyNumberFormat="1" applyFont="1" applyFill="1"/>
    <xf numFmtId="0" fontId="33" fillId="0" borderId="0" xfId="134"/>
    <xf numFmtId="14" fontId="0" fillId="0" borderId="0" xfId="0" applyNumberFormat="1" applyAlignment="1">
      <alignment horizontal="left"/>
    </xf>
    <xf numFmtId="1" fontId="3" fillId="0" borderId="0" xfId="0" applyNumberFormat="1" applyFont="1" applyFill="1"/>
    <xf numFmtId="1" fontId="0" fillId="0" borderId="0" xfId="0" applyNumberFormat="1" applyFill="1"/>
    <xf numFmtId="9" fontId="3" fillId="0" borderId="0" xfId="0" applyNumberFormat="1" applyFont="1"/>
    <xf numFmtId="0" fontId="4" fillId="25"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5" fillId="0" borderId="0" xfId="3" applyFont="1"/>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167" fontId="4" fillId="0" borderId="0" xfId="3" applyNumberFormat="1" applyBorder="1"/>
    <xf numFmtId="0" fontId="23" fillId="0" borderId="0" xfId="3" applyFont="1" applyFill="1"/>
    <xf numFmtId="0" fontId="4" fillId="0" borderId="0" xfId="3" applyFill="1"/>
    <xf numFmtId="9" fontId="4" fillId="26" borderId="12" xfId="3" applyNumberFormat="1" applyFill="1" applyBorder="1"/>
    <xf numFmtId="2" fontId="4" fillId="0" borderId="0" xfId="3" applyNumberFormat="1"/>
    <xf numFmtId="172" fontId="4" fillId="0" borderId="0" xfId="3" applyNumberFormat="1"/>
    <xf numFmtId="0" fontId="4" fillId="0" borderId="0" xfId="3" applyFont="1" applyBorder="1"/>
    <xf numFmtId="166" fontId="4" fillId="0" borderId="0" xfId="3" applyNumberFormat="1"/>
    <xf numFmtId="166" fontId="4" fillId="0" borderId="12" xfId="3" applyNumberFormat="1" applyBorder="1"/>
    <xf numFmtId="3" fontId="4" fillId="0" borderId="0" xfId="3" applyNumberFormat="1"/>
    <xf numFmtId="0" fontId="28" fillId="0" borderId="0" xfId="0" applyFont="1" applyFill="1" applyBorder="1"/>
    <xf numFmtId="10" fontId="4" fillId="24" borderId="12" xfId="3" applyNumberFormat="1" applyFill="1" applyBorder="1"/>
    <xf numFmtId="166" fontId="4" fillId="26" borderId="12" xfId="3" applyNumberFormat="1" applyFont="1" applyFill="1" applyBorder="1" applyAlignment="1">
      <alignment horizontal="right"/>
    </xf>
    <xf numFmtId="166" fontId="4" fillId="26" borderId="12" xfId="3" applyNumberFormat="1" applyFont="1" applyFill="1" applyBorder="1"/>
    <xf numFmtId="40" fontId="4" fillId="0" borderId="0" xfId="3" applyNumberFormat="1"/>
    <xf numFmtId="3" fontId="4" fillId="0" borderId="0" xfId="3" applyNumberFormat="1" applyBorder="1"/>
    <xf numFmtId="174" fontId="4" fillId="0" borderId="0" xfId="3" applyNumberFormat="1"/>
    <xf numFmtId="171" fontId="4" fillId="0" borderId="0" xfId="3" applyNumberFormat="1"/>
    <xf numFmtId="44" fontId="3" fillId="0" borderId="0" xfId="0" applyNumberFormat="1" applyFont="1"/>
    <xf numFmtId="169" fontId="3" fillId="0" borderId="0" xfId="0" applyNumberFormat="1" applyFont="1"/>
    <xf numFmtId="169" fontId="0" fillId="0" borderId="0" xfId="0" applyNumberFormat="1" applyFont="1"/>
    <xf numFmtId="44" fontId="0" fillId="0" borderId="0" xfId="0" applyNumberFormat="1" applyFont="1"/>
    <xf numFmtId="1" fontId="0" fillId="0" borderId="0" xfId="0" applyNumberFormat="1" applyFont="1" applyFill="1"/>
    <xf numFmtId="0" fontId="3" fillId="0" borderId="17" xfId="0" applyFont="1" applyBorder="1" applyAlignment="1">
      <alignment horizontal="left"/>
    </xf>
    <xf numFmtId="0" fontId="3" fillId="0" borderId="17" xfId="0" applyFont="1" applyBorder="1"/>
    <xf numFmtId="169" fontId="3" fillId="0" borderId="17" xfId="0" applyNumberFormat="1" applyFont="1" applyBorder="1"/>
    <xf numFmtId="166" fontId="3" fillId="0" borderId="17" xfId="0" applyNumberFormat="1" applyFont="1" applyBorder="1"/>
    <xf numFmtId="44" fontId="3" fillId="0" borderId="17" xfId="0" applyNumberFormat="1" applyFont="1" applyBorder="1"/>
    <xf numFmtId="9" fontId="3" fillId="0" borderId="17" xfId="0" applyNumberFormat="1" applyFont="1" applyFill="1" applyBorder="1"/>
    <xf numFmtId="166" fontId="3" fillId="0" borderId="17" xfId="0" applyNumberFormat="1" applyFont="1" applyFill="1" applyBorder="1"/>
    <xf numFmtId="3" fontId="0" fillId="0" borderId="0" xfId="0" applyNumberFormat="1" applyFont="1"/>
    <xf numFmtId="175" fontId="3" fillId="0" borderId="0" xfId="0" applyNumberFormat="1" applyFont="1"/>
    <xf numFmtId="175" fontId="0" fillId="0" borderId="0" xfId="0" applyNumberFormat="1" applyFont="1"/>
    <xf numFmtId="0" fontId="0" fillId="0" borderId="0" xfId="0" applyNumberFormat="1" applyFont="1" applyAlignment="1">
      <alignment horizontal="left"/>
    </xf>
    <xf numFmtId="175" fontId="3" fillId="0" borderId="17" xfId="0" applyNumberFormat="1" applyFont="1" applyBorder="1"/>
    <xf numFmtId="165" fontId="3" fillId="0" borderId="17" xfId="0" applyNumberFormat="1" applyFont="1" applyBorder="1"/>
    <xf numFmtId="0" fontId="25" fillId="25" borderId="11" xfId="3" applyFont="1" applyFill="1" applyBorder="1"/>
    <xf numFmtId="0" fontId="4" fillId="25" borderId="11" xfId="3" applyFill="1" applyBorder="1"/>
    <xf numFmtId="0" fontId="4" fillId="0" borderId="0" xfId="3" applyBorder="1"/>
    <xf numFmtId="0" fontId="4" fillId="0" borderId="0" xfId="3"/>
    <xf numFmtId="0" fontId="23" fillId="0" borderId="0" xfId="3" applyFont="1" applyBorder="1"/>
    <xf numFmtId="0" fontId="31" fillId="0" borderId="0" xfId="3" applyFont="1" applyBorder="1"/>
    <xf numFmtId="0" fontId="37" fillId="0" borderId="0" xfId="3" applyFont="1" applyBorder="1"/>
    <xf numFmtId="0" fontId="4" fillId="0" borderId="17" xfId="3" applyBorder="1"/>
    <xf numFmtId="0" fontId="38" fillId="0" borderId="0" xfId="3" applyFont="1" applyBorder="1"/>
    <xf numFmtId="0" fontId="4" fillId="0" borderId="16" xfId="3" applyBorder="1"/>
    <xf numFmtId="172" fontId="4" fillId="0" borderId="12" xfId="3" applyNumberFormat="1" applyBorder="1"/>
    <xf numFmtId="0" fontId="36" fillId="0" borderId="0" xfId="3" applyFont="1" applyBorder="1"/>
    <xf numFmtId="0" fontId="4" fillId="0" borderId="11" xfId="3" applyBorder="1"/>
    <xf numFmtId="0" fontId="4" fillId="0" borderId="0" xfId="3" applyFill="1" applyBorder="1"/>
    <xf numFmtId="0" fontId="4" fillId="0" borderId="17"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0" fontId="4" fillId="0" borderId="10" xfId="3" applyBorder="1"/>
    <xf numFmtId="3" fontId="4" fillId="0" borderId="13" xfId="3" applyNumberFormat="1" applyBorder="1"/>
    <xf numFmtId="3" fontId="4" fillId="0" borderId="12" xfId="3" applyNumberFormat="1" applyBorder="1"/>
    <xf numFmtId="0" fontId="37" fillId="0" borderId="0" xfId="3" applyFont="1" applyFill="1" applyBorder="1"/>
    <xf numFmtId="3" fontId="4" fillId="0" borderId="13" xfId="3" applyNumberFormat="1" applyFont="1" applyBorder="1"/>
    <xf numFmtId="3" fontId="4" fillId="0" borderId="12" xfId="3" applyNumberFormat="1" applyFont="1" applyBorder="1"/>
    <xf numFmtId="0" fontId="31" fillId="0" borderId="0" xfId="3" applyFont="1" applyFill="1" applyBorder="1"/>
    <xf numFmtId="165" fontId="4" fillId="0" borderId="0" xfId="3" applyNumberFormat="1" applyBorder="1"/>
    <xf numFmtId="3" fontId="4" fillId="0" borderId="0" xfId="3" applyNumberFormat="1" applyBorder="1"/>
    <xf numFmtId="2" fontId="4" fillId="0" borderId="12" xfId="3" applyNumberFormat="1" applyBorder="1"/>
    <xf numFmtId="0" fontId="3" fillId="0" borderId="0" xfId="0" applyFont="1" applyBorder="1" applyAlignment="1">
      <alignment horizontal="left"/>
    </xf>
    <xf numFmtId="0" fontId="3" fillId="0" borderId="0" xfId="0" applyFont="1" applyBorder="1" applyAlignment="1"/>
    <xf numFmtId="3" fontId="0" fillId="0" borderId="0" xfId="0" applyNumberFormat="1"/>
    <xf numFmtId="42" fontId="0" fillId="0" borderId="0" xfId="0" applyNumberFormat="1" applyFill="1"/>
    <xf numFmtId="169" fontId="0" fillId="0" borderId="0" xfId="133" applyNumberFormat="1" applyFont="1" applyFill="1"/>
    <xf numFmtId="9" fontId="0" fillId="0" borderId="0" xfId="0" applyNumberFormat="1" applyFont="1" applyBorder="1"/>
    <xf numFmtId="0" fontId="27" fillId="0" borderId="17" xfId="0" applyFont="1" applyFill="1" applyBorder="1" applyAlignment="1">
      <alignment vertical="top" wrapText="1"/>
    </xf>
    <xf numFmtId="9" fontId="0" fillId="0" borderId="0" xfId="0" applyNumberFormat="1" applyFill="1"/>
    <xf numFmtId="169" fontId="0" fillId="0" borderId="17" xfId="0" applyNumberFormat="1" applyBorder="1"/>
    <xf numFmtId="0" fontId="0" fillId="0" borderId="0" xfId="0"/>
    <xf numFmtId="0" fontId="3" fillId="0" borderId="0" xfId="0" applyFont="1"/>
    <xf numFmtId="0" fontId="0" fillId="0" borderId="0" xfId="0" applyAlignment="1">
      <alignment horizontal="right"/>
    </xf>
    <xf numFmtId="0" fontId="0" fillId="0" borderId="0" xfId="0" applyBorder="1"/>
    <xf numFmtId="0" fontId="0" fillId="0" borderId="0" xfId="0" applyFill="1" applyBorder="1"/>
    <xf numFmtId="3" fontId="0" fillId="0" borderId="0" xfId="0" applyNumberFormat="1"/>
    <xf numFmtId="0" fontId="0" fillId="0" borderId="17" xfId="0" applyBorder="1"/>
    <xf numFmtId="165" fontId="0" fillId="0" borderId="17" xfId="0" applyNumberFormat="1" applyBorder="1"/>
    <xf numFmtId="0" fontId="0" fillId="24" borderId="0" xfId="0" applyFill="1" applyBorder="1"/>
    <xf numFmtId="0" fontId="0" fillId="0" borderId="17" xfId="0" applyFont="1" applyBorder="1"/>
    <xf numFmtId="165" fontId="0" fillId="0" borderId="0" xfId="0" applyNumberFormat="1" applyFill="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7" xfId="133" applyNumberFormat="1" applyFont="1" applyFill="1" applyBorder="1"/>
    <xf numFmtId="0" fontId="0" fillId="0" borderId="0" xfId="0" applyBorder="1" applyAlignment="1">
      <alignment vertical="center"/>
    </xf>
    <xf numFmtId="0" fontId="0" fillId="0" borderId="0" xfId="0" applyBorder="1" applyAlignment="1">
      <alignment horizontal="left" vertical="center"/>
    </xf>
    <xf numFmtId="169" fontId="0" fillId="0" borderId="0" xfId="133" applyNumberFormat="1" applyFont="1" applyBorder="1"/>
    <xf numFmtId="169" fontId="0" fillId="0" borderId="20" xfId="133" applyNumberFormat="1" applyFont="1" applyBorder="1"/>
    <xf numFmtId="0" fontId="29" fillId="0" borderId="0" xfId="0" applyNumberFormat="1" applyFont="1" applyFill="1" applyBorder="1" applyAlignment="1" applyProtection="1">
      <alignment horizontal="left" vertical="top" wrapText="1"/>
    </xf>
    <xf numFmtId="169" fontId="29" fillId="0" borderId="0" xfId="133" applyNumberFormat="1" applyFont="1" applyFill="1" applyBorder="1" applyAlignment="1" applyProtection="1">
      <protection locked="0"/>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28" fillId="0" borderId="17" xfId="0" applyFont="1" applyFill="1" applyBorder="1" applyAlignment="1"/>
    <xf numFmtId="0" fontId="28" fillId="0" borderId="0" xfId="0" applyFont="1" applyBorder="1"/>
    <xf numFmtId="0" fontId="39" fillId="0" borderId="0" xfId="0" applyFont="1" applyFill="1" applyBorder="1" applyAlignment="1">
      <alignment horizontal="center"/>
    </xf>
    <xf numFmtId="0" fontId="28" fillId="27" borderId="18" xfId="0" applyFont="1" applyFill="1" applyBorder="1" applyAlignment="1"/>
    <xf numFmtId="165" fontId="28" fillId="0" borderId="0" xfId="0" applyNumberFormat="1" applyFont="1" applyBorder="1"/>
    <xf numFmtId="0" fontId="28" fillId="27" borderId="15" xfId="0" applyFont="1" applyFill="1" applyBorder="1" applyAlignment="1"/>
    <xf numFmtId="3" fontId="28" fillId="0" borderId="12" xfId="0" applyNumberFormat="1" applyFont="1" applyBorder="1"/>
    <xf numFmtId="0" fontId="39" fillId="0" borderId="0" xfId="0" applyFont="1" applyFill="1" applyBorder="1" applyAlignment="1">
      <alignment horizontal="center" wrapText="1"/>
    </xf>
    <xf numFmtId="0" fontId="0" fillId="0" borderId="0" xfId="0"/>
    <xf numFmtId="0" fontId="0" fillId="0" borderId="0" xfId="0" applyFill="1" applyBorder="1"/>
    <xf numFmtId="0" fontId="28" fillId="0" borderId="10" xfId="0" applyFont="1" applyBorder="1"/>
    <xf numFmtId="165" fontId="28" fillId="0" borderId="12" xfId="0" applyNumberFormat="1" applyFont="1" applyBorder="1"/>
    <xf numFmtId="0" fontId="0" fillId="0" borderId="0" xfId="0"/>
    <xf numFmtId="165" fontId="28" fillId="0" borderId="12" xfId="0" applyNumberFormat="1" applyFont="1" applyBorder="1"/>
    <xf numFmtId="0" fontId="0" fillId="0" borderId="0" xfId="0"/>
    <xf numFmtId="0" fontId="0" fillId="0" borderId="12" xfId="0" applyBorder="1"/>
    <xf numFmtId="167" fontId="0" fillId="0" borderId="12" xfId="0" applyNumberFormat="1" applyBorder="1"/>
    <xf numFmtId="0" fontId="28" fillId="0" borderId="10" xfId="0" applyFont="1" applyBorder="1"/>
    <xf numFmtId="166" fontId="28" fillId="0" borderId="12" xfId="0" applyNumberFormat="1" applyFont="1" applyBorder="1"/>
    <xf numFmtId="170" fontId="28" fillId="0" borderId="12" xfId="0" applyNumberFormat="1" applyFont="1" applyBorder="1"/>
    <xf numFmtId="0" fontId="39" fillId="27" borderId="18" xfId="0" applyFont="1" applyFill="1" applyBorder="1" applyAlignment="1">
      <alignment horizontal="center"/>
    </xf>
    <xf numFmtId="0" fontId="39" fillId="27" borderId="12" xfId="0" applyFont="1" applyFill="1" applyBorder="1" applyAlignment="1">
      <alignment horizontal="center"/>
    </xf>
    <xf numFmtId="0" fontId="39" fillId="27" borderId="15" xfId="0" applyFont="1" applyFill="1" applyBorder="1" applyAlignment="1">
      <alignment horizontal="center"/>
    </xf>
    <xf numFmtId="0" fontId="28" fillId="0" borderId="10" xfId="0" applyFont="1" applyBorder="1"/>
    <xf numFmtId="165" fontId="28" fillId="0" borderId="12" xfId="0" applyNumberFormat="1" applyFont="1" applyBorder="1"/>
    <xf numFmtId="0" fontId="28" fillId="0" borderId="10" xfId="0" applyFont="1" applyBorder="1"/>
    <xf numFmtId="165" fontId="28" fillId="0" borderId="12" xfId="0" applyNumberFormat="1" applyFont="1" applyBorder="1"/>
    <xf numFmtId="166" fontId="0" fillId="0" borderId="0" xfId="0" applyNumberFormat="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39" fillId="27" borderId="12" xfId="0" applyFont="1" applyFill="1" applyBorder="1" applyAlignment="1">
      <alignment horizontal="center"/>
    </xf>
    <xf numFmtId="0" fontId="0" fillId="0" borderId="0" xfId="0"/>
    <xf numFmtId="0" fontId="28" fillId="0" borderId="0" xfId="0" applyFont="1" applyFill="1" applyBorder="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39" fillId="27" borderId="18" xfId="0" applyFont="1" applyFill="1" applyBorder="1" applyAlignment="1">
      <alignment horizontal="center"/>
    </xf>
    <xf numFmtId="0" fontId="39" fillId="27" borderId="12" xfId="0" applyFont="1" applyFill="1" applyBorder="1" applyAlignment="1">
      <alignment horizontal="center"/>
    </xf>
    <xf numFmtId="2" fontId="0" fillId="0" borderId="0" xfId="0" applyNumberFormat="1"/>
    <xf numFmtId="0" fontId="0" fillId="0" borderId="0" xfId="0"/>
    <xf numFmtId="0" fontId="0" fillId="0" borderId="0" xfId="0" applyFill="1"/>
    <xf numFmtId="169" fontId="29" fillId="0" borderId="0" xfId="133" applyNumberFormat="1" applyFont="1" applyFill="1" applyBorder="1"/>
    <xf numFmtId="3" fontId="28" fillId="0" borderId="0" xfId="0" applyNumberFormat="1" applyFont="1" applyBorder="1"/>
    <xf numFmtId="0" fontId="39" fillId="27" borderId="15" xfId="0" applyFont="1" applyFill="1" applyBorder="1" applyAlignment="1">
      <alignment horizontal="center"/>
    </xf>
    <xf numFmtId="0" fontId="0" fillId="0" borderId="0" xfId="0" applyFill="1" applyBorder="1" applyAlignment="1">
      <alignment horizontal="center"/>
    </xf>
    <xf numFmtId="0" fontId="40" fillId="0" borderId="0" xfId="0" applyFont="1" applyBorder="1" applyAlignment="1">
      <alignment vertical="top" wrapText="1"/>
    </xf>
    <xf numFmtId="169" fontId="2" fillId="0" borderId="0" xfId="133" applyNumberFormat="1" applyFont="1" applyFill="1" applyBorder="1"/>
    <xf numFmtId="3"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center"/>
    </xf>
    <xf numFmtId="0" fontId="5" fillId="0" borderId="0" xfId="0" applyFont="1" applyFill="1" applyBorder="1" applyAlignment="1">
      <alignment horizontal="center" vertical="top" wrapText="1"/>
    </xf>
    <xf numFmtId="42" fontId="30" fillId="0" borderId="0" xfId="0" applyNumberFormat="1" applyFont="1"/>
    <xf numFmtId="1" fontId="30" fillId="0" borderId="0" xfId="0" applyNumberFormat="1" applyFont="1" applyAlignment="1">
      <alignment horizontal="center"/>
    </xf>
    <xf numFmtId="42" fontId="30" fillId="0" borderId="0" xfId="0" applyNumberFormat="1" applyFont="1" applyFill="1"/>
    <xf numFmtId="167" fontId="30" fillId="0" borderId="0" xfId="0" applyNumberFormat="1" applyFont="1" applyFill="1"/>
    <xf numFmtId="0" fontId="5" fillId="0" borderId="0" xfId="0" applyFont="1" applyFill="1" applyBorder="1" applyAlignment="1">
      <alignment horizontal="right" vertical="top" wrapText="1"/>
    </xf>
    <xf numFmtId="0" fontId="27" fillId="0" borderId="17" xfId="0" applyFont="1" applyBorder="1" applyAlignment="1">
      <alignment vertical="top" wrapText="1"/>
    </xf>
    <xf numFmtId="0" fontId="39" fillId="27" borderId="12" xfId="0" applyFont="1" applyFill="1" applyBorder="1" applyAlignment="1">
      <alignment horizontal="right"/>
    </xf>
    <xf numFmtId="0" fontId="39" fillId="27" borderId="10" xfId="0" applyFont="1" applyFill="1" applyBorder="1" applyAlignment="1">
      <alignment horizontal="right"/>
    </xf>
    <xf numFmtId="0" fontId="39" fillId="27" borderId="10" xfId="0" applyFont="1" applyFill="1" applyBorder="1" applyAlignment="1">
      <alignment horizontal="right" wrapText="1"/>
    </xf>
    <xf numFmtId="0" fontId="3" fillId="0" borderId="0" xfId="0" applyNumberFormat="1" applyFont="1" applyFill="1" applyBorder="1" applyAlignment="1" applyProtection="1"/>
    <xf numFmtId="173" fontId="0" fillId="0" borderId="0" xfId="133" applyNumberFormat="1" applyFont="1" applyFill="1" applyBorder="1"/>
    <xf numFmtId="0" fontId="3" fillId="0" borderId="0" xfId="0" applyFont="1" applyFill="1" applyBorder="1"/>
    <xf numFmtId="0" fontId="32" fillId="0" borderId="0" xfId="0" applyFont="1" applyFill="1"/>
    <xf numFmtId="165" fontId="0" fillId="0" borderId="0" xfId="133" applyNumberFormat="1" applyFont="1" applyFill="1"/>
    <xf numFmtId="0" fontId="0" fillId="0" borderId="0" xfId="0"/>
    <xf numFmtId="0" fontId="0" fillId="0" borderId="17" xfId="0" applyBorder="1"/>
    <xf numFmtId="0" fontId="0" fillId="0" borderId="0" xfId="0" applyFill="1"/>
    <xf numFmtId="165" fontId="0" fillId="0" borderId="0" xfId="0" applyNumberFormat="1"/>
    <xf numFmtId="165" fontId="0" fillId="0" borderId="17" xfId="0" applyNumberFormat="1" applyBorder="1"/>
    <xf numFmtId="0" fontId="0" fillId="0" borderId="0" xfId="0" applyFont="1" applyFill="1" applyBorder="1"/>
    <xf numFmtId="165" fontId="0" fillId="0" borderId="0" xfId="0" applyNumberFormat="1" applyFill="1"/>
    <xf numFmtId="0" fontId="0" fillId="0" borderId="0" xfId="0" applyFill="1"/>
    <xf numFmtId="0" fontId="41" fillId="0" borderId="0" xfId="0" applyFont="1"/>
    <xf numFmtId="42" fontId="0" fillId="0" borderId="0" xfId="0" applyNumberFormat="1" applyFill="1"/>
    <xf numFmtId="0" fontId="0" fillId="0" borderId="0" xfId="0"/>
    <xf numFmtId="0" fontId="0" fillId="0" borderId="0" xfId="0"/>
    <xf numFmtId="0" fontId="0" fillId="0" borderId="0" xfId="0"/>
    <xf numFmtId="42"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0" fontId="0" fillId="0" borderId="0" xfId="0" applyFont="1"/>
    <xf numFmtId="0" fontId="0" fillId="0" borderId="0" xfId="0"/>
    <xf numFmtId="0" fontId="0" fillId="0" borderId="0" xfId="0"/>
    <xf numFmtId="9" fontId="29" fillId="0" borderId="0" xfId="0" applyNumberFormat="1" applyFont="1"/>
    <xf numFmtId="165" fontId="29" fillId="0" borderId="0" xfId="0" applyNumberFormat="1" applyFont="1" applyFill="1"/>
    <xf numFmtId="0" fontId="29" fillId="0" borderId="17" xfId="0" applyFont="1" applyBorder="1"/>
    <xf numFmtId="168" fontId="29" fillId="0" borderId="0" xfId="0" applyNumberFormat="1" applyFont="1"/>
    <xf numFmtId="165" fontId="28" fillId="0" borderId="0" xfId="0" applyNumberFormat="1" applyFont="1" applyFill="1" applyBorder="1"/>
    <xf numFmtId="170" fontId="28" fillId="0" borderId="0" xfId="0" applyNumberFormat="1" applyFont="1" applyFill="1" applyBorder="1" applyAlignment="1">
      <alignment horizontal="right"/>
    </xf>
    <xf numFmtId="165" fontId="29" fillId="0" borderId="17" xfId="0" applyNumberFormat="1" applyFont="1" applyBorder="1"/>
    <xf numFmtId="0" fontId="24" fillId="0" borderId="0" xfId="0" applyFont="1" applyFill="1" applyBorder="1" applyAlignment="1">
      <alignment horizontal="right"/>
    </xf>
    <xf numFmtId="1" fontId="29" fillId="0" borderId="0" xfId="0" applyNumberFormat="1" applyFont="1" applyBorder="1"/>
    <xf numFmtId="3" fontId="4" fillId="0" borderId="0" xfId="0" applyNumberFormat="1" applyFont="1" applyFill="1" applyBorder="1" applyAlignment="1">
      <alignment horizontal="right"/>
    </xf>
    <xf numFmtId="0" fontId="29" fillId="0" borderId="0" xfId="0" applyFont="1" applyAlignment="1">
      <alignment horizontal="right"/>
    </xf>
    <xf numFmtId="167" fontId="28" fillId="0" borderId="0" xfId="0" applyNumberFormat="1" applyFont="1" applyFill="1" applyBorder="1" applyAlignment="1">
      <alignment horizontal="right"/>
    </xf>
    <xf numFmtId="0" fontId="28" fillId="0" borderId="0" xfId="0" applyFont="1" applyFill="1" applyBorder="1" applyAlignment="1">
      <alignment horizontal="right"/>
    </xf>
    <xf numFmtId="0" fontId="22" fillId="0" borderId="0" xfId="0" applyFont="1"/>
    <xf numFmtId="3" fontId="39" fillId="0" borderId="0" xfId="0" applyNumberFormat="1" applyFont="1" applyFill="1" applyBorder="1"/>
    <xf numFmtId="0" fontId="29" fillId="0" borderId="0" xfId="0" applyFont="1" applyAlignment="1">
      <alignment horizontal="left"/>
    </xf>
    <xf numFmtId="0" fontId="39" fillId="0" borderId="0" xfId="0" applyFont="1" applyFill="1" applyBorder="1"/>
    <xf numFmtId="166" fontId="4" fillId="0" borderId="0" xfId="3" applyNumberFormat="1" applyFill="1" applyBorder="1"/>
    <xf numFmtId="0" fontId="0" fillId="0" borderId="0" xfId="0" applyFill="1" applyBorder="1" applyAlignment="1"/>
    <xf numFmtId="165" fontId="29" fillId="0" borderId="0" xfId="0" applyNumberFormat="1" applyFont="1" applyBorder="1"/>
    <xf numFmtId="166" fontId="4" fillId="0" borderId="0" xfId="3" applyNumberFormat="1" applyFont="1" applyFill="1" applyBorder="1"/>
    <xf numFmtId="0" fontId="29" fillId="0" borderId="0" xfId="0" applyFont="1" applyBorder="1"/>
    <xf numFmtId="0" fontId="29" fillId="0" borderId="0" xfId="0" applyFont="1" applyFill="1"/>
    <xf numFmtId="168" fontId="29" fillId="0" borderId="0" xfId="0" applyNumberFormat="1" applyFont="1" applyAlignment="1">
      <alignment horizontal="right"/>
    </xf>
    <xf numFmtId="165" fontId="29" fillId="0" borderId="0" xfId="0" applyNumberFormat="1" applyFont="1"/>
    <xf numFmtId="42" fontId="3" fillId="0" borderId="0" xfId="0" applyNumberFormat="1" applyFont="1" applyFill="1"/>
    <xf numFmtId="169" fontId="0" fillId="0" borderId="0" xfId="0" applyNumberFormat="1"/>
    <xf numFmtId="42" fontId="0" fillId="0" borderId="0" xfId="0" applyNumberFormat="1" applyFont="1" applyFill="1"/>
    <xf numFmtId="42" fontId="22" fillId="0" borderId="0" xfId="0" applyNumberFormat="1" applyFont="1" applyFill="1"/>
    <xf numFmtId="42" fontId="3" fillId="0" borderId="0" xfId="0" applyNumberFormat="1" applyFont="1"/>
    <xf numFmtId="169" fontId="3" fillId="0" borderId="0" xfId="0" applyNumberFormat="1" applyFont="1" applyFill="1"/>
    <xf numFmtId="0" fontId="4" fillId="25" borderId="11" xfId="3" applyFill="1" applyBorder="1"/>
    <xf numFmtId="0" fontId="4" fillId="0" borderId="0" xfId="3" applyBorder="1"/>
    <xf numFmtId="0" fontId="4" fillId="0" borderId="0" xfId="3"/>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3" fontId="4" fillId="0" borderId="0" xfId="3" applyNumberFormat="1" applyBorder="1"/>
    <xf numFmtId="165" fontId="3" fillId="0" borderId="17" xfId="0" applyNumberFormat="1" applyFont="1" applyBorder="1"/>
    <xf numFmtId="0" fontId="37" fillId="0" borderId="0" xfId="3" applyFont="1" applyBorder="1"/>
    <xf numFmtId="0" fontId="36" fillId="0" borderId="0" xfId="3" applyFont="1" applyBorder="1"/>
    <xf numFmtId="0" fontId="37" fillId="0" borderId="0" xfId="3" applyFont="1" applyFill="1" applyBorder="1"/>
    <xf numFmtId="0" fontId="0" fillId="0" borderId="0" xfId="0" applyFill="1" applyBorder="1" applyAlignment="1">
      <alignment horizontal="right"/>
    </xf>
    <xf numFmtId="169" fontId="0" fillId="0" borderId="0" xfId="133" applyNumberFormat="1" applyFont="1" applyFill="1" applyBorder="1"/>
    <xf numFmtId="0" fontId="39" fillId="0" borderId="0" xfId="0" applyFont="1" applyFill="1" applyBorder="1" applyAlignment="1">
      <alignment horizontal="center"/>
    </xf>
    <xf numFmtId="3" fontId="5" fillId="0" borderId="0" xfId="0" applyNumberFormat="1" applyFont="1" applyFill="1" applyBorder="1" applyAlignment="1">
      <alignment vertical="top" wrapText="1"/>
    </xf>
    <xf numFmtId="0" fontId="24" fillId="0" borderId="0" xfId="0" applyFont="1" applyFill="1" applyBorder="1"/>
    <xf numFmtId="0" fontId="4" fillId="0" borderId="0" xfId="0" applyFont="1" applyFill="1" applyBorder="1" applyAlignment="1">
      <alignment horizontal="right"/>
    </xf>
    <xf numFmtId="0" fontId="43" fillId="0" borderId="0" xfId="0" applyFont="1" applyBorder="1"/>
    <xf numFmtId="168" fontId="29" fillId="0" borderId="0" xfId="0" applyNumberFormat="1" applyFont="1" applyBorder="1"/>
    <xf numFmtId="0" fontId="29" fillId="0" borderId="0" xfId="0" applyFont="1"/>
    <xf numFmtId="0" fontId="29" fillId="0" borderId="0" xfId="0" applyFont="1"/>
    <xf numFmtId="9" fontId="28" fillId="0" borderId="0" xfId="0" applyNumberFormat="1" applyFont="1" applyFill="1" applyBorder="1"/>
    <xf numFmtId="166" fontId="4" fillId="0" borderId="0" xfId="3" applyNumberFormat="1" applyFont="1" applyFill="1" applyBorder="1" applyAlignment="1">
      <alignment horizontal="right"/>
    </xf>
    <xf numFmtId="9" fontId="4" fillId="0" borderId="0" xfId="3" applyNumberFormat="1" applyFill="1" applyBorder="1"/>
    <xf numFmtId="3" fontId="39" fillId="0" borderId="0" xfId="0" applyNumberFormat="1" applyFont="1" applyFill="1" applyBorder="1" applyAlignment="1">
      <alignment horizontal="right"/>
    </xf>
    <xf numFmtId="10" fontId="4" fillId="0" borderId="0" xfId="3" applyNumberFormat="1" applyFill="1" applyBorder="1"/>
    <xf numFmtId="0" fontId="0" fillId="0" borderId="0" xfId="0"/>
    <xf numFmtId="42" fontId="0" fillId="0" borderId="0" xfId="0" applyNumberFormat="1" applyFill="1"/>
    <xf numFmtId="42" fontId="0" fillId="0" borderId="0" xfId="0" applyNumberFormat="1"/>
    <xf numFmtId="0" fontId="29" fillId="0" borderId="0" xfId="0" applyFont="1"/>
    <xf numFmtId="0" fontId="0" fillId="0" borderId="0" xfId="0" applyFill="1"/>
    <xf numFmtId="0" fontId="3" fillId="0" borderId="0" xfId="0" applyFont="1"/>
    <xf numFmtId="9" fontId="0" fillId="0" borderId="0" xfId="0" applyNumberFormat="1"/>
    <xf numFmtId="0" fontId="0" fillId="0" borderId="0" xfId="0" applyBorder="1"/>
    <xf numFmtId="0" fontId="0" fillId="0" borderId="0" xfId="0" applyFont="1" applyBorder="1"/>
    <xf numFmtId="0" fontId="0" fillId="0" borderId="0" xfId="0" applyFont="1" applyFill="1" applyBorder="1"/>
    <xf numFmtId="0" fontId="0" fillId="0" borderId="0" xfId="0" applyFont="1" applyBorder="1" applyAlignment="1">
      <alignment horizontal="left"/>
    </xf>
    <xf numFmtId="0" fontId="27" fillId="0" borderId="0" xfId="0" applyFont="1" applyBorder="1" applyAlignment="1">
      <alignment vertical="top" wrapText="1"/>
    </xf>
    <xf numFmtId="0" fontId="27" fillId="0" borderId="0" xfId="0" applyFont="1" applyBorder="1" applyAlignment="1">
      <alignment vertical="top"/>
    </xf>
    <xf numFmtId="1" fontId="39" fillId="0" borderId="0" xfId="0" applyNumberFormat="1" applyFont="1" applyFill="1" applyBorder="1"/>
    <xf numFmtId="167" fontId="28" fillId="0" borderId="0" xfId="0" applyNumberFormat="1" applyFont="1" applyFill="1" applyBorder="1"/>
    <xf numFmtId="170" fontId="28" fillId="0" borderId="0" xfId="0" applyNumberFormat="1" applyFont="1" applyFill="1" applyBorder="1"/>
    <xf numFmtId="0" fontId="3" fillId="0" borderId="0" xfId="0" applyFont="1" applyFill="1" applyBorder="1" applyAlignment="1">
      <alignment horizontal="right" wrapText="1"/>
    </xf>
    <xf numFmtId="0" fontId="0" fillId="0" borderId="0" xfId="0"/>
    <xf numFmtId="0" fontId="0" fillId="0" borderId="0" xfId="0" applyAlignment="1">
      <alignment horizontal="left"/>
    </xf>
    <xf numFmtId="0" fontId="3" fillId="0" borderId="0" xfId="0" applyFont="1"/>
    <xf numFmtId="0" fontId="0" fillId="0" borderId="0" xfId="0" applyFill="1" applyBorder="1"/>
    <xf numFmtId="0" fontId="0" fillId="0" borderId="0" xfId="0"/>
    <xf numFmtId="166" fontId="0" fillId="0" borderId="0" xfId="0" applyNumberFormat="1"/>
    <xf numFmtId="168" fontId="0" fillId="0" borderId="0" xfId="0" applyNumberFormat="1"/>
    <xf numFmtId="0" fontId="0" fillId="0" borderId="0" xfId="0" applyAlignment="1">
      <alignment horizontal="right"/>
    </xf>
    <xf numFmtId="165" fontId="0" fillId="0" borderId="0" xfId="0" applyNumberFormat="1" applyFill="1"/>
    <xf numFmtId="0" fontId="4" fillId="0" borderId="0" xfId="3"/>
    <xf numFmtId="0" fontId="4" fillId="26" borderId="12" xfId="3" applyFill="1" applyBorder="1"/>
    <xf numFmtId="0" fontId="39" fillId="0" borderId="0" xfId="0" applyFont="1" applyFill="1" applyBorder="1" applyAlignment="1">
      <alignment horizontal="right"/>
    </xf>
    <xf numFmtId="0" fontId="4" fillId="0" borderId="0" xfId="3" applyFill="1" applyBorder="1"/>
    <xf numFmtId="0" fontId="0" fillId="0" borderId="0" xfId="0" applyFill="1" applyBorder="1"/>
    <xf numFmtId="0" fontId="28" fillId="0" borderId="0" xfId="0" applyFont="1" applyFill="1" applyBorder="1"/>
    <xf numFmtId="168" fontId="0" fillId="0" borderId="0" xfId="0" applyNumberFormat="1" applyFill="1" applyBorder="1"/>
    <xf numFmtId="0" fontId="0" fillId="0" borderId="0" xfId="0"/>
    <xf numFmtId="0" fontId="3" fillId="0" borderId="0" xfId="0" applyFont="1"/>
    <xf numFmtId="169" fontId="0" fillId="0" borderId="0" xfId="0" applyNumberFormat="1"/>
    <xf numFmtId="169" fontId="0" fillId="0" borderId="0" xfId="133" applyNumberFormat="1" applyFont="1"/>
    <xf numFmtId="0" fontId="0" fillId="0" borderId="0" xfId="0" applyFont="1" applyFill="1" applyBorder="1"/>
    <xf numFmtId="0" fontId="0" fillId="0" borderId="0" xfId="0" applyFill="1"/>
    <xf numFmtId="165" fontId="0" fillId="0" borderId="0" xfId="0" applyNumberFormat="1"/>
    <xf numFmtId="0" fontId="0" fillId="0" borderId="0" xfId="0"/>
    <xf numFmtId="0" fontId="0" fillId="0" borderId="0" xfId="0" applyFont="1"/>
    <xf numFmtId="0" fontId="0" fillId="0" borderId="0" xfId="0" applyFont="1" applyBorder="1"/>
    <xf numFmtId="0" fontId="0" fillId="0" borderId="0" xfId="0" applyAlignment="1">
      <alignment horizontal="right"/>
    </xf>
    <xf numFmtId="42" fontId="0" fillId="0" borderId="0" xfId="0" applyNumberFormat="1"/>
    <xf numFmtId="0" fontId="29" fillId="0" borderId="0" xfId="0" applyFont="1"/>
    <xf numFmtId="0" fontId="0" fillId="0" borderId="0" xfId="0" applyFill="1" applyAlignment="1">
      <alignment horizontal="left"/>
    </xf>
    <xf numFmtId="165" fontId="29" fillId="0" borderId="0" xfId="0" applyNumberFormat="1" applyFont="1" applyFill="1" applyBorder="1"/>
    <xf numFmtId="176" fontId="4" fillId="0" borderId="0" xfId="3" applyNumberFormat="1"/>
    <xf numFmtId="167" fontId="4" fillId="0" borderId="13" xfId="3" applyNumberFormat="1" applyBorder="1"/>
    <xf numFmtId="2" fontId="0" fillId="0" borderId="0" xfId="0" applyNumberFormat="1" applyFill="1" applyBorder="1" applyAlignment="1" applyProtection="1"/>
    <xf numFmtId="0" fontId="43" fillId="0" borderId="0" xfId="0" applyFont="1" applyFill="1" applyBorder="1" applyAlignment="1">
      <alignment horizontal="center"/>
    </xf>
    <xf numFmtId="41" fontId="28" fillId="0" borderId="0" xfId="0" applyNumberFormat="1" applyFont="1" applyBorder="1"/>
    <xf numFmtId="0" fontId="0" fillId="0" borderId="0" xfId="0" applyNumberFormat="1" applyFill="1" applyBorder="1" applyAlignment="1" applyProtection="1">
      <alignment horizontal="center"/>
    </xf>
    <xf numFmtId="3" fontId="3" fillId="0" borderId="0" xfId="0" applyNumberFormat="1" applyFont="1" applyFill="1" applyBorder="1"/>
    <xf numFmtId="42" fontId="3" fillId="0" borderId="17" xfId="0" applyNumberFormat="1" applyFont="1" applyFill="1" applyBorder="1"/>
    <xf numFmtId="3" fontId="23" fillId="0" borderId="0" xfId="0" applyNumberFormat="1" applyFont="1" applyFill="1" applyBorder="1" applyAlignment="1" applyProtection="1">
      <alignment horizontal="right"/>
    </xf>
    <xf numFmtId="3" fontId="23" fillId="0" borderId="0" xfId="133" applyNumberFormat="1" applyFont="1" applyFill="1" applyBorder="1" applyAlignment="1" applyProtection="1">
      <alignment horizontal="right"/>
    </xf>
    <xf numFmtId="0" fontId="44" fillId="0" borderId="0" xfId="0" applyFont="1" applyFill="1" applyBorder="1"/>
    <xf numFmtId="3" fontId="42" fillId="0" borderId="0" xfId="0" applyNumberFormat="1" applyFont="1" applyFill="1" applyBorder="1" applyAlignment="1">
      <alignment horizontal="center"/>
    </xf>
    <xf numFmtId="0" fontId="43" fillId="0" borderId="0" xfId="0" applyFont="1" applyFill="1" applyBorder="1"/>
    <xf numFmtId="0" fontId="29" fillId="0" borderId="0" xfId="0" applyFont="1" applyFill="1" applyBorder="1"/>
    <xf numFmtId="41" fontId="0" fillId="0" borderId="0" xfId="0" applyNumberFormat="1" applyBorder="1"/>
    <xf numFmtId="44" fontId="0" fillId="0" borderId="0" xfId="0" applyNumberFormat="1" applyBorder="1"/>
    <xf numFmtId="0" fontId="22" fillId="0" borderId="0" xfId="0" applyFont="1" applyFill="1"/>
    <xf numFmtId="0" fontId="0" fillId="0" borderId="0" xfId="0"/>
    <xf numFmtId="0" fontId="0" fillId="0" borderId="0" xfId="0" applyBorder="1"/>
    <xf numFmtId="0" fontId="3" fillId="0" borderId="0" xfId="0" applyFont="1"/>
    <xf numFmtId="1" fontId="0" fillId="0" borderId="0" xfId="0" applyNumberFormat="1" applyAlignment="1">
      <alignment horizontal="center"/>
    </xf>
    <xf numFmtId="0" fontId="4" fillId="0" borderId="0" xfId="3"/>
    <xf numFmtId="0" fontId="4" fillId="0" borderId="0" xfId="3" applyBorder="1"/>
    <xf numFmtId="0" fontId="36" fillId="0" borderId="0" xfId="3" applyFont="1" applyBorder="1"/>
    <xf numFmtId="0" fontId="4" fillId="0" borderId="0" xfId="3" applyFill="1" applyBorder="1" applyAlignment="1">
      <alignment horizontal="left"/>
    </xf>
    <xf numFmtId="0" fontId="4" fillId="0" borderId="0" xfId="3" applyBorder="1" applyAlignment="1">
      <alignment horizontal="left"/>
    </xf>
    <xf numFmtId="165" fontId="0" fillId="0" borderId="0" xfId="0" applyNumberFormat="1" applyBorder="1"/>
    <xf numFmtId="0" fontId="0" fillId="0" borderId="0" xfId="0" applyFill="1"/>
    <xf numFmtId="3" fontId="0" fillId="0" borderId="0" xfId="0" applyNumberFormat="1"/>
    <xf numFmtId="165" fontId="0" fillId="0" borderId="0" xfId="0" applyNumberFormat="1"/>
    <xf numFmtId="0" fontId="4" fillId="0" borderId="0" xfId="3"/>
    <xf numFmtId="0" fontId="4" fillId="0" borderId="0" xfId="3" applyBorder="1"/>
    <xf numFmtId="0" fontId="4" fillId="0" borderId="0" xfId="3" applyFill="1" applyBorder="1"/>
    <xf numFmtId="0" fontId="37" fillId="0" borderId="0" xfId="3" applyFont="1" applyBorder="1"/>
    <xf numFmtId="0" fontId="37" fillId="0" borderId="0" xfId="3" applyFont="1" applyFill="1" applyBorder="1"/>
    <xf numFmtId="0" fontId="4" fillId="25" borderId="11" xfId="3" applyFill="1" applyBorder="1"/>
    <xf numFmtId="10" fontId="4" fillId="0" borderId="0" xfId="3" applyNumberFormat="1" applyFill="1" applyBorder="1"/>
    <xf numFmtId="9" fontId="4" fillId="0" borderId="0" xfId="3" applyNumberFormat="1" applyFill="1" applyBorder="1"/>
    <xf numFmtId="166" fontId="4" fillId="0" borderId="0" xfId="3" applyNumberFormat="1" applyFill="1" applyBorder="1"/>
    <xf numFmtId="3" fontId="4" fillId="0" borderId="0" xfId="3" applyNumberFormat="1" applyBorder="1"/>
    <xf numFmtId="0" fontId="4" fillId="0" borderId="0" xfId="3"/>
    <xf numFmtId="0" fontId="4" fillId="0" borderId="0" xfId="3" applyBorder="1"/>
    <xf numFmtId="0" fontId="4" fillId="0" borderId="0" xfId="3" applyFill="1" applyBorder="1"/>
    <xf numFmtId="0" fontId="36" fillId="0" borderId="0" xfId="3" applyFont="1" applyBorder="1"/>
    <xf numFmtId="0" fontId="23" fillId="0" borderId="0" xfId="0" applyNumberFormat="1" applyFont="1" applyFill="1" applyBorder="1" applyAlignment="1" applyProtection="1"/>
    <xf numFmtId="44" fontId="0" fillId="0" borderId="0" xfId="133" applyFont="1" applyFill="1" applyBorder="1" applyProtection="1"/>
    <xf numFmtId="2" fontId="0" fillId="0" borderId="0" xfId="0" applyNumberFormat="1" applyFill="1" applyBorder="1" applyAlignment="1" applyProtection="1">
      <protection locked="0"/>
    </xf>
    <xf numFmtId="3" fontId="0" fillId="0" borderId="0" xfId="133" applyNumberFormat="1" applyFont="1" applyFill="1" applyBorder="1" applyAlignment="1" applyProtection="1">
      <alignment horizontal="right"/>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xf numFmtId="0" fontId="26" fillId="0" borderId="0" xfId="0" applyNumberFormat="1" applyFont="1" applyFill="1" applyBorder="1" applyAlignment="1" applyProtection="1">
      <alignment horizontal="right"/>
    </xf>
    <xf numFmtId="1" fontId="0" fillId="0" borderId="0" xfId="0" applyNumberFormat="1"/>
    <xf numFmtId="0" fontId="0" fillId="0" borderId="0" xfId="0" applyFill="1" applyBorder="1"/>
    <xf numFmtId="0" fontId="3" fillId="0" borderId="0" xfId="0" applyFont="1" applyFill="1" applyBorder="1"/>
    <xf numFmtId="42" fontId="0" fillId="0" borderId="0" xfId="0" applyNumberFormat="1" applyFill="1" applyBorder="1"/>
    <xf numFmtId="44" fontId="0" fillId="0" borderId="0" xfId="0" applyNumberFormat="1" applyFill="1" applyBorder="1"/>
    <xf numFmtId="165" fontId="0" fillId="0" borderId="0" xfId="0" applyNumberFormat="1"/>
    <xf numFmtId="0" fontId="27" fillId="0" borderId="0" xfId="0" applyFont="1" applyFill="1" applyBorder="1" applyAlignment="1">
      <alignment vertical="top"/>
    </xf>
    <xf numFmtId="0" fontId="28" fillId="0" borderId="0" xfId="0" applyFont="1" applyBorder="1" applyAlignment="1">
      <alignment horizontal="center"/>
    </xf>
    <xf numFmtId="0" fontId="0" fillId="0" borderId="0" xfId="0" applyBorder="1" applyAlignment="1">
      <alignment horizontal="center"/>
    </xf>
    <xf numFmtId="0" fontId="4" fillId="0" borderId="0" xfId="3" applyBorder="1"/>
    <xf numFmtId="0" fontId="35" fillId="0" borderId="0" xfId="3" applyFont="1"/>
    <xf numFmtId="0" fontId="4" fillId="0" borderId="11" xfId="3" applyBorder="1"/>
    <xf numFmtId="0" fontId="4" fillId="0" borderId="0" xfId="3" applyFill="1" applyBorder="1" applyAlignment="1">
      <alignment horizontal="left"/>
    </xf>
    <xf numFmtId="0" fontId="4" fillId="0" borderId="0" xfId="3" applyFont="1" applyFill="1" applyBorder="1"/>
    <xf numFmtId="0" fontId="4" fillId="0" borderId="0" xfId="3" applyFill="1" applyBorder="1"/>
    <xf numFmtId="0" fontId="38" fillId="0" borderId="0" xfId="3" applyFont="1" applyBorder="1"/>
    <xf numFmtId="0" fontId="23" fillId="0" borderId="0" xfId="3" applyFont="1" applyFill="1"/>
    <xf numFmtId="0" fontId="4" fillId="0" borderId="0" xfId="3" applyFill="1"/>
    <xf numFmtId="165" fontId="4" fillId="0" borderId="0" xfId="3" applyNumberFormat="1" applyBorder="1"/>
    <xf numFmtId="0" fontId="31" fillId="0" borderId="0" xfId="3" applyFont="1" applyFill="1" applyBorder="1"/>
    <xf numFmtId="1" fontId="4" fillId="0" borderId="0" xfId="3" applyNumberFormat="1"/>
    <xf numFmtId="166" fontId="4" fillId="0" borderId="0" xfId="3" applyNumberFormat="1" applyFill="1" applyBorder="1"/>
    <xf numFmtId="0" fontId="0" fillId="0" borderId="0" xfId="0" applyFill="1" applyBorder="1"/>
    <xf numFmtId="165" fontId="0" fillId="0" borderId="0" xfId="0" applyNumberFormat="1" applyFill="1" applyBorder="1"/>
    <xf numFmtId="42" fontId="0" fillId="0" borderId="0" xfId="0" applyNumberFormat="1" applyFill="1" applyBorder="1"/>
    <xf numFmtId="172" fontId="4" fillId="0" borderId="0" xfId="3" applyNumberFormat="1" applyFill="1" applyBorder="1"/>
    <xf numFmtId="9" fontId="4" fillId="26" borderId="12" xfId="3" applyNumberFormat="1" applyFill="1" applyBorder="1"/>
    <xf numFmtId="0" fontId="0" fillId="0" borderId="0" xfId="0"/>
    <xf numFmtId="0" fontId="0" fillId="0" borderId="0" xfId="0" applyBorder="1"/>
    <xf numFmtId="0" fontId="0" fillId="0" borderId="0" xfId="0" applyFill="1"/>
    <xf numFmtId="0" fontId="0" fillId="0" borderId="0" xfId="0" applyFill="1" applyBorder="1"/>
    <xf numFmtId="0" fontId="0" fillId="0" borderId="0" xfId="0" applyFont="1" applyBorder="1"/>
    <xf numFmtId="0" fontId="28" fillId="0" borderId="0" xfId="0" applyFont="1" applyBorder="1"/>
    <xf numFmtId="1" fontId="4" fillId="26" borderId="12" xfId="55" applyNumberFormat="1" applyFont="1" applyFill="1" applyBorder="1"/>
    <xf numFmtId="1" fontId="4" fillId="0" borderId="12" xfId="55" applyNumberFormat="1" applyFont="1" applyFill="1" applyBorder="1"/>
    <xf numFmtId="0" fontId="35" fillId="0" borderId="0" xfId="3" applyFont="1" applyFill="1" applyBorder="1"/>
    <xf numFmtId="167" fontId="4" fillId="26" borderId="12" xfId="3" applyNumberFormat="1" applyFill="1" applyBorder="1"/>
    <xf numFmtId="0" fontId="35" fillId="0" borderId="0" xfId="3" applyFont="1" applyFill="1"/>
    <xf numFmtId="2" fontId="23" fillId="0" borderId="0" xfId="55" applyNumberFormat="1" applyFont="1"/>
    <xf numFmtId="0" fontId="4" fillId="0" borderId="0" xfId="3" applyFill="1" applyBorder="1" applyAlignment="1">
      <alignment horizontal="right"/>
    </xf>
    <xf numFmtId="0" fontId="4" fillId="0" borderId="0" xfId="3"/>
    <xf numFmtId="0" fontId="4" fillId="0" borderId="0" xfId="3" applyBorder="1"/>
    <xf numFmtId="0" fontId="4" fillId="0" borderId="0" xfId="3" applyFill="1" applyBorder="1"/>
    <xf numFmtId="0" fontId="4" fillId="0" borderId="11" xfId="3" applyBorder="1"/>
    <xf numFmtId="167" fontId="4" fillId="0" borderId="0" xfId="3" applyNumberFormat="1" applyBorder="1"/>
    <xf numFmtId="167" fontId="4" fillId="0" borderId="0" xfId="55" applyNumberFormat="1" applyFill="1" applyBorder="1"/>
    <xf numFmtId="0" fontId="4" fillId="0" borderId="0" xfId="55" applyFont="1" applyBorder="1"/>
    <xf numFmtId="0" fontId="23" fillId="0" borderId="0" xfId="55" applyNumberFormat="1" applyFont="1"/>
    <xf numFmtId="0" fontId="4" fillId="0" borderId="12" xfId="3" applyBorder="1"/>
    <xf numFmtId="167" fontId="4" fillId="0" borderId="21" xfId="3" applyNumberFormat="1" applyBorder="1"/>
    <xf numFmtId="1" fontId="4" fillId="0" borderId="0" xfId="55" applyNumberFormat="1" applyFont="1" applyFill="1" applyBorder="1"/>
    <xf numFmtId="0" fontId="4" fillId="0" borderId="0" xfId="3"/>
    <xf numFmtId="0" fontId="4" fillId="0" borderId="0" xfId="3" applyBorder="1"/>
    <xf numFmtId="0" fontId="4" fillId="0" borderId="0" xfId="3" applyFont="1" applyBorder="1"/>
    <xf numFmtId="0" fontId="23" fillId="0" borderId="0" xfId="3" applyFont="1" applyBorder="1"/>
    <xf numFmtId="0" fontId="4" fillId="0" borderId="0" xfId="3" applyFill="1" applyBorder="1"/>
    <xf numFmtId="0" fontId="4" fillId="0" borderId="0" xfId="3" applyFont="1"/>
    <xf numFmtId="0" fontId="4" fillId="0" borderId="11" xfId="3" applyBorder="1"/>
    <xf numFmtId="0" fontId="4" fillId="0" borderId="11" xfId="3" applyFont="1" applyBorder="1"/>
    <xf numFmtId="0" fontId="4" fillId="0" borderId="0" xfId="3" applyFont="1" applyFill="1" applyBorder="1"/>
    <xf numFmtId="2" fontId="4" fillId="0" borderId="0" xfId="3" applyNumberFormat="1" applyBorder="1"/>
    <xf numFmtId="0" fontId="4" fillId="0" borderId="11" xfId="3" applyFill="1" applyBorder="1"/>
    <xf numFmtId="0" fontId="4" fillId="0" borderId="0" xfId="3" applyBorder="1" applyAlignment="1">
      <alignment horizontal="left"/>
    </xf>
    <xf numFmtId="167" fontId="4" fillId="0" borderId="0" xfId="3" applyNumberFormat="1" applyBorder="1"/>
    <xf numFmtId="0" fontId="37" fillId="0" borderId="0" xfId="3" applyFont="1" applyFill="1" applyBorder="1"/>
    <xf numFmtId="167" fontId="4" fillId="0" borderId="0" xfId="55" applyNumberFormat="1" applyFill="1" applyBorder="1"/>
    <xf numFmtId="0" fontId="4" fillId="0" borderId="0" xfId="55" applyFont="1" applyBorder="1"/>
    <xf numFmtId="0" fontId="23" fillId="0" borderId="0" xfId="55" applyNumberFormat="1" applyFont="1"/>
    <xf numFmtId="167" fontId="4" fillId="0" borderId="12" xfId="55" applyNumberFormat="1" applyFill="1" applyBorder="1"/>
    <xf numFmtId="0" fontId="4" fillId="0" borderId="12" xfId="3" applyBorder="1"/>
    <xf numFmtId="167" fontId="4" fillId="0" borderId="12" xfId="3" applyNumberFormat="1" applyBorder="1"/>
    <xf numFmtId="0" fontId="0" fillId="0" borderId="0" xfId="0" applyAlignment="1">
      <alignment horizontal="center"/>
    </xf>
    <xf numFmtId="1" fontId="0" fillId="0" borderId="0" xfId="0" applyNumberFormat="1" applyAlignment="1">
      <alignment horizontal="right"/>
    </xf>
    <xf numFmtId="3" fontId="0" fillId="0" borderId="0" xfId="0" applyNumberFormat="1" applyAlignment="1">
      <alignment horizontal="right"/>
    </xf>
    <xf numFmtId="177" fontId="0" fillId="0" borderId="0" xfId="133" applyNumberFormat="1" applyFont="1"/>
    <xf numFmtId="169" fontId="0" fillId="0" borderId="0" xfId="133" applyNumberFormat="1" applyFont="1" applyAlignment="1">
      <alignment horizontal="right"/>
    </xf>
    <xf numFmtId="169" fontId="0" fillId="0" borderId="0" xfId="133" applyNumberFormat="1" applyFont="1" applyAlignment="1">
      <alignment horizontal="center"/>
    </xf>
    <xf numFmtId="0" fontId="0" fillId="0" borderId="0" xfId="0" applyBorder="1" applyAlignment="1" applyProtection="1">
      <alignment horizontal="left" vertical="center"/>
      <protection locked="0"/>
    </xf>
    <xf numFmtId="0" fontId="0" fillId="0" borderId="0" xfId="0" applyBorder="1" applyProtection="1">
      <protection locked="0"/>
    </xf>
    <xf numFmtId="0" fontId="0" fillId="24" borderId="0" xfId="0" applyFill="1" applyBorder="1" applyProtection="1">
      <protection locked="0"/>
    </xf>
    <xf numFmtId="169" fontId="0" fillId="0" borderId="0" xfId="0" applyNumberFormat="1" applyFill="1"/>
    <xf numFmtId="169" fontId="0" fillId="0" borderId="17" xfId="0" applyNumberFormat="1" applyFill="1" applyBorder="1"/>
    <xf numFmtId="1" fontId="29" fillId="0" borderId="0" xfId="0" applyNumberFormat="1" applyFont="1" applyAlignment="1">
      <alignment horizontal="right"/>
    </xf>
    <xf numFmtId="169" fontId="29" fillId="0" borderId="0" xfId="133" applyNumberFormat="1" applyFont="1" applyAlignment="1">
      <alignment horizontal="right"/>
    </xf>
    <xf numFmtId="0" fontId="45" fillId="0" borderId="0" xfId="0" applyFont="1"/>
    <xf numFmtId="165" fontId="0" fillId="0" borderId="17" xfId="0" applyNumberFormat="1" applyFill="1" applyBorder="1"/>
    <xf numFmtId="168" fontId="29" fillId="0" borderId="0" xfId="0" applyNumberFormat="1" applyFont="1" applyBorder="1" applyAlignment="1">
      <alignment horizontal="right"/>
    </xf>
    <xf numFmtId="0" fontId="29" fillId="0" borderId="0" xfId="0" applyFont="1" applyFill="1" applyAlignment="1">
      <alignment horizontal="right"/>
    </xf>
    <xf numFmtId="0" fontId="29" fillId="0" borderId="0" xfId="0" applyFont="1" applyAlignment="1">
      <alignment horizontal="center"/>
    </xf>
    <xf numFmtId="168" fontId="29" fillId="0" borderId="0" xfId="0" applyNumberFormat="1" applyFont="1" applyAlignment="1">
      <alignment horizontal="center"/>
    </xf>
    <xf numFmtId="0" fontId="29" fillId="0" borderId="0" xfId="0" applyFont="1" applyFill="1" applyAlignment="1">
      <alignment horizontal="center"/>
    </xf>
    <xf numFmtId="4" fontId="29" fillId="0" borderId="0" xfId="0" applyNumberFormat="1" applyFont="1" applyAlignment="1">
      <alignment horizontal="right"/>
    </xf>
    <xf numFmtId="169" fontId="29" fillId="0" borderId="0" xfId="133" applyNumberFormat="1" applyFont="1"/>
    <xf numFmtId="175" fontId="29" fillId="0" borderId="0" xfId="133" applyNumberFormat="1" applyFont="1" applyFill="1" applyBorder="1"/>
    <xf numFmtId="167" fontId="29" fillId="0" borderId="0" xfId="0" applyNumberFormat="1" applyFont="1"/>
    <xf numFmtId="0" fontId="29" fillId="0" borderId="17" xfId="0" applyFont="1" applyFill="1" applyBorder="1"/>
    <xf numFmtId="169" fontId="29" fillId="0" borderId="17" xfId="133" applyNumberFormat="1" applyFont="1" applyFill="1" applyBorder="1"/>
    <xf numFmtId="37" fontId="29" fillId="0" borderId="17" xfId="133" applyNumberFormat="1" applyFont="1" applyFill="1" applyBorder="1"/>
    <xf numFmtId="1" fontId="29" fillId="0" borderId="17" xfId="0" applyNumberFormat="1" applyFont="1" applyFill="1" applyBorder="1"/>
    <xf numFmtId="0" fontId="29" fillId="0" borderId="17" xfId="0" applyFont="1" applyBorder="1" applyAlignment="1">
      <alignment horizontal="right"/>
    </xf>
    <xf numFmtId="169" fontId="29" fillId="0" borderId="17" xfId="133" applyNumberFormat="1" applyFont="1" applyBorder="1" applyAlignment="1">
      <alignment horizontal="right"/>
    </xf>
    <xf numFmtId="37" fontId="29" fillId="0" borderId="17" xfId="133" applyNumberFormat="1" applyFont="1" applyBorder="1" applyAlignment="1">
      <alignment horizontal="right"/>
    </xf>
    <xf numFmtId="169" fontId="29" fillId="0" borderId="0" xfId="0" applyNumberFormat="1" applyFont="1"/>
    <xf numFmtId="169" fontId="29" fillId="0" borderId="17" xfId="133" applyNumberFormat="1" applyFont="1" applyBorder="1"/>
    <xf numFmtId="0" fontId="25" fillId="25" borderId="19" xfId="0" applyNumberFormat="1" applyFont="1" applyFill="1" applyBorder="1" applyAlignment="1" applyProtection="1">
      <alignment horizontal="left" wrapText="1"/>
    </xf>
    <xf numFmtId="0" fontId="26" fillId="25" borderId="20" xfId="0" applyNumberFormat="1" applyFont="1" applyFill="1" applyBorder="1" applyAlignment="1" applyProtection="1">
      <alignment horizontal="center"/>
    </xf>
    <xf numFmtId="0" fontId="26" fillId="25" borderId="22" xfId="0" applyNumberFormat="1" applyFont="1" applyFill="1" applyBorder="1" applyAlignment="1" applyProtection="1">
      <alignment wrapText="1"/>
    </xf>
    <xf numFmtId="0" fontId="26" fillId="25" borderId="19" xfId="0" applyNumberFormat="1" applyFont="1" applyFill="1" applyBorder="1" applyAlignment="1" applyProtection="1">
      <alignment horizontal="left"/>
    </xf>
    <xf numFmtId="0" fontId="26" fillId="25" borderId="20" xfId="0" applyNumberFormat="1" applyFont="1" applyFill="1" applyBorder="1" applyAlignment="1" applyProtection="1">
      <alignment horizontal="right"/>
    </xf>
    <xf numFmtId="0" fontId="26" fillId="25" borderId="20" xfId="0" applyNumberFormat="1" applyFont="1" applyFill="1" applyBorder="1" applyAlignment="1" applyProtection="1"/>
    <xf numFmtId="0" fontId="26" fillId="25" borderId="22" xfId="0" applyNumberFormat="1" applyFont="1" applyFill="1" applyBorder="1" applyAlignment="1" applyProtection="1"/>
    <xf numFmtId="0" fontId="26" fillId="25" borderId="19" xfId="0" applyNumberFormat="1" applyFont="1" applyFill="1" applyBorder="1" applyAlignment="1" applyProtection="1">
      <alignment horizontal="center"/>
    </xf>
    <xf numFmtId="0" fontId="0" fillId="25" borderId="23" xfId="0" applyNumberFormat="1" applyFill="1" applyBorder="1" applyAlignment="1" applyProtection="1">
      <alignment wrapText="1"/>
    </xf>
    <xf numFmtId="0" fontId="26" fillId="25" borderId="24" xfId="0" applyNumberFormat="1" applyFont="1" applyFill="1" applyBorder="1" applyAlignment="1" applyProtection="1">
      <alignment horizontal="center"/>
    </xf>
    <xf numFmtId="0" fontId="26" fillId="25" borderId="25" xfId="0" applyNumberFormat="1" applyFont="1" applyFill="1" applyBorder="1" applyAlignment="1" applyProtection="1">
      <alignment horizontal="center" wrapText="1"/>
    </xf>
    <xf numFmtId="16" fontId="0" fillId="25" borderId="23" xfId="0" applyNumberFormat="1" applyFill="1" applyBorder="1" applyAlignment="1" applyProtection="1">
      <alignment horizontal="center"/>
    </xf>
    <xf numFmtId="0" fontId="0" fillId="25" borderId="24" xfId="0" quotePrefix="1" applyNumberFormat="1" applyFill="1" applyBorder="1" applyAlignment="1" applyProtection="1">
      <alignment horizontal="center"/>
    </xf>
    <xf numFmtId="0" fontId="0" fillId="25" borderId="25" xfId="0" quotePrefix="1" applyNumberFormat="1" applyFill="1" applyBorder="1" applyAlignment="1" applyProtection="1">
      <alignment horizontal="center"/>
    </xf>
    <xf numFmtId="16" fontId="0" fillId="25" borderId="24" xfId="0" applyNumberFormat="1" applyFill="1" applyBorder="1" applyAlignment="1" applyProtection="1">
      <alignment horizontal="center"/>
    </xf>
    <xf numFmtId="0" fontId="0" fillId="25" borderId="26" xfId="0" applyNumberFormat="1" applyFill="1" applyBorder="1" applyAlignment="1" applyProtection="1"/>
    <xf numFmtId="3" fontId="0" fillId="0" borderId="18" xfId="0" applyNumberFormat="1" applyFill="1" applyBorder="1" applyAlignment="1" applyProtection="1">
      <protection locked="0"/>
    </xf>
    <xf numFmtId="0" fontId="0" fillId="0" borderId="18" xfId="0" applyNumberFormat="1" applyFill="1" applyBorder="1" applyAlignment="1" applyProtection="1">
      <alignment horizontal="center"/>
      <protection locked="0"/>
    </xf>
    <xf numFmtId="169" fontId="0" fillId="25" borderId="0" xfId="133" applyNumberFormat="1" applyFont="1" applyFill="1" applyBorder="1" applyProtection="1"/>
    <xf numFmtId="0" fontId="4" fillId="0" borderId="18" xfId="0" applyNumberFormat="1" applyFont="1" applyFill="1" applyBorder="1" applyAlignment="1" applyProtection="1">
      <alignment horizontal="center"/>
      <protection locked="0"/>
    </xf>
    <xf numFmtId="3" fontId="0" fillId="25" borderId="26" xfId="133" applyNumberFormat="1" applyFont="1" applyFill="1" applyBorder="1" applyAlignment="1" applyProtection="1">
      <alignment horizontal="right"/>
    </xf>
    <xf numFmtId="3" fontId="0" fillId="25" borderId="0" xfId="133" applyNumberFormat="1" applyFont="1" applyFill="1" applyBorder="1" applyAlignment="1" applyProtection="1">
      <alignment horizontal="right"/>
    </xf>
    <xf numFmtId="3" fontId="0" fillId="25" borderId="16" xfId="133" applyNumberFormat="1" applyFont="1" applyFill="1" applyBorder="1" applyAlignment="1" applyProtection="1">
      <alignment horizontal="right"/>
    </xf>
    <xf numFmtId="3" fontId="0" fillId="0" borderId="12" xfId="0" applyNumberFormat="1" applyFill="1" applyBorder="1" applyAlignment="1" applyProtection="1">
      <protection locked="0"/>
    </xf>
    <xf numFmtId="0" fontId="0" fillId="0" borderId="12" xfId="0" applyNumberFormat="1" applyFill="1" applyBorder="1" applyAlignment="1" applyProtection="1">
      <alignment horizontal="center"/>
      <protection locked="0"/>
    </xf>
    <xf numFmtId="0" fontId="4" fillId="0" borderId="12" xfId="0" applyNumberFormat="1" applyFont="1" applyFill="1" applyBorder="1" applyAlignment="1" applyProtection="1">
      <alignment horizontal="center"/>
      <protection locked="0"/>
    </xf>
    <xf numFmtId="3" fontId="4" fillId="25" borderId="26" xfId="133" applyNumberFormat="1" applyFont="1" applyFill="1" applyBorder="1" applyAlignment="1" applyProtection="1">
      <alignment horizontal="right"/>
    </xf>
    <xf numFmtId="2" fontId="0" fillId="0" borderId="12" xfId="0" applyNumberFormat="1" applyFill="1" applyBorder="1" applyAlignment="1" applyProtection="1">
      <protection locked="0"/>
    </xf>
    <xf numFmtId="44" fontId="0" fillId="25" borderId="0" xfId="133" applyFont="1" applyFill="1" applyBorder="1" applyProtection="1"/>
    <xf numFmtId="3" fontId="0" fillId="25" borderId="14" xfId="133" applyNumberFormat="1" applyFont="1" applyFill="1" applyBorder="1" applyAlignment="1" applyProtection="1">
      <alignment horizontal="right"/>
    </xf>
    <xf numFmtId="3" fontId="0" fillId="25" borderId="17" xfId="133" applyNumberFormat="1" applyFont="1" applyFill="1" applyBorder="1" applyAlignment="1" applyProtection="1">
      <alignment horizontal="right"/>
    </xf>
    <xf numFmtId="3" fontId="0" fillId="25" borderId="21" xfId="133" applyNumberFormat="1" applyFont="1" applyFill="1" applyBorder="1" applyAlignment="1" applyProtection="1">
      <alignment horizontal="right"/>
    </xf>
    <xf numFmtId="0" fontId="23" fillId="25" borderId="10" xfId="0" applyNumberFormat="1" applyFont="1" applyFill="1" applyBorder="1" applyAlignment="1" applyProtection="1"/>
    <xf numFmtId="2" fontId="0" fillId="25" borderId="11" xfId="0" applyNumberFormat="1" applyFill="1" applyBorder="1" applyAlignment="1" applyProtection="1"/>
    <xf numFmtId="0" fontId="26" fillId="25" borderId="11" xfId="0" applyNumberFormat="1" applyFont="1" applyFill="1" applyBorder="1" applyAlignment="1" applyProtection="1">
      <alignment horizontal="right"/>
    </xf>
    <xf numFmtId="44" fontId="0" fillId="25" borderId="11" xfId="133" applyFont="1" applyFill="1" applyBorder="1" applyProtection="1"/>
    <xf numFmtId="0" fontId="0" fillId="25" borderId="10" xfId="0" applyNumberFormat="1" applyFill="1" applyBorder="1" applyAlignment="1" applyProtection="1">
      <alignment horizontal="center"/>
    </xf>
    <xf numFmtId="0" fontId="0" fillId="25" borderId="11" xfId="0" applyNumberFormat="1" applyFill="1" applyBorder="1" applyAlignment="1" applyProtection="1">
      <alignment horizontal="center"/>
    </xf>
    <xf numFmtId="0" fontId="0" fillId="25" borderId="13" xfId="0" applyNumberFormat="1" applyFill="1" applyBorder="1" applyAlignment="1" applyProtection="1">
      <alignment horizontal="center"/>
    </xf>
    <xf numFmtId="3" fontId="23" fillId="25" borderId="26" xfId="0" applyNumberFormat="1" applyFont="1" applyFill="1" applyBorder="1" applyAlignment="1" applyProtection="1">
      <alignment horizontal="right"/>
    </xf>
    <xf numFmtId="3" fontId="23" fillId="25" borderId="0" xfId="133" applyNumberFormat="1" applyFont="1" applyFill="1" applyBorder="1" applyAlignment="1" applyProtection="1">
      <alignment horizontal="right"/>
    </xf>
    <xf numFmtId="3" fontId="3" fillId="0" borderId="0" xfId="0" applyNumberFormat="1" applyFont="1"/>
    <xf numFmtId="165" fontId="0" fillId="0" borderId="17" xfId="0" applyNumberFormat="1" applyBorder="1" applyAlignment="1">
      <alignment horizontal="right"/>
    </xf>
    <xf numFmtId="169" fontId="0" fillId="0" borderId="0" xfId="0" applyNumberFormat="1" applyBorder="1"/>
    <xf numFmtId="169" fontId="3" fillId="0" borderId="0" xfId="0" applyNumberFormat="1" applyFont="1" applyBorder="1" applyAlignment="1">
      <alignment horizontal="right"/>
    </xf>
    <xf numFmtId="39" fontId="0" fillId="0" borderId="0" xfId="0" applyNumberFormat="1" applyBorder="1"/>
    <xf numFmtId="39" fontId="0" fillId="0" borderId="17" xfId="0" applyNumberFormat="1" applyFont="1" applyBorder="1"/>
    <xf numFmtId="39" fontId="0" fillId="0" borderId="0" xfId="0" applyNumberFormat="1"/>
    <xf numFmtId="44" fontId="0" fillId="0" borderId="17" xfId="0" applyNumberFormat="1" applyBorder="1"/>
    <xf numFmtId="0" fontId="0" fillId="0" borderId="0" xfId="0" applyBorder="1" applyAlignment="1">
      <alignment horizontal="right"/>
    </xf>
    <xf numFmtId="166" fontId="0" fillId="0" borderId="0" xfId="0" applyNumberFormat="1" applyBorder="1" applyAlignment="1">
      <alignment horizontal="right"/>
    </xf>
    <xf numFmtId="44" fontId="0" fillId="0" borderId="0" xfId="0" applyNumberFormat="1" applyBorder="1" applyAlignment="1">
      <alignment horizontal="right"/>
    </xf>
    <xf numFmtId="44" fontId="0" fillId="0" borderId="0" xfId="133" applyNumberFormat="1" applyFont="1" applyBorder="1"/>
    <xf numFmtId="169" fontId="29" fillId="0" borderId="0" xfId="133" applyNumberFormat="1" applyFont="1" applyFill="1" applyBorder="1" applyAlignment="1" applyProtection="1">
      <alignment horizontal="center"/>
    </xf>
    <xf numFmtId="0" fontId="29" fillId="0" borderId="17" xfId="0" applyNumberFormat="1" applyFont="1" applyFill="1" applyBorder="1" applyAlignment="1" applyProtection="1">
      <alignment horizontal="left" vertical="top" wrapText="1"/>
    </xf>
    <xf numFmtId="169" fontId="29" fillId="0" borderId="17" xfId="133" applyNumberFormat="1" applyFont="1" applyFill="1" applyBorder="1" applyAlignment="1" applyProtection="1">
      <protection locked="0"/>
    </xf>
    <xf numFmtId="3" fontId="29" fillId="0" borderId="0" xfId="0" applyNumberFormat="1" applyFont="1" applyFill="1" applyBorder="1" applyAlignment="1" applyProtection="1">
      <alignment horizontal="right"/>
    </xf>
    <xf numFmtId="169" fontId="3" fillId="0" borderId="0" xfId="0" applyNumberFormat="1" applyFont="1" applyFill="1" applyAlignment="1"/>
    <xf numFmtId="9" fontId="3" fillId="0" borderId="0" xfId="150" applyFont="1" applyFill="1"/>
    <xf numFmtId="9" fontId="3" fillId="0" borderId="17" xfId="150" applyFont="1" applyFill="1" applyBorder="1"/>
    <xf numFmtId="1" fontId="3" fillId="0" borderId="17" xfId="0" applyNumberFormat="1" applyFont="1" applyFill="1" applyBorder="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applyFont="1" applyBorder="1"/>
    <xf numFmtId="0" fontId="0" fillId="0" borderId="0" xfId="0"/>
    <xf numFmtId="42" fontId="0" fillId="0" borderId="0" xfId="0" applyNumberFormat="1" applyFont="1" applyFill="1"/>
    <xf numFmtId="9" fontId="3" fillId="0" borderId="0" xfId="0" applyNumberFormat="1" applyFont="1" applyFill="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applyFill="1"/>
    <xf numFmtId="1" fontId="0" fillId="0" borderId="0" xfId="0" applyNumberFormat="1" applyFill="1"/>
    <xf numFmtId="1" fontId="0" fillId="0" borderId="0" xfId="0" applyNumberFormat="1" applyFont="1" applyFill="1"/>
    <xf numFmtId="175" fontId="3" fillId="0" borderId="0" xfId="0" applyNumberFormat="1" applyFont="1"/>
    <xf numFmtId="42" fontId="3" fillId="0" borderId="17" xfId="0" applyNumberFormat="1" applyFont="1" applyFill="1" applyBorder="1"/>
    <xf numFmtId="0" fontId="3" fillId="0" borderId="17" xfId="0" applyFont="1" applyBorder="1" applyAlignment="1">
      <alignment horizontal="left"/>
    </xf>
    <xf numFmtId="0" fontId="3" fillId="0" borderId="17" xfId="0" applyFont="1" applyBorder="1" applyAlignment="1">
      <alignment horizontal="left"/>
    </xf>
    <xf numFmtId="0" fontId="3" fillId="0" borderId="0" xfId="0" applyFont="1" applyAlignment="1">
      <alignment horizontal="left"/>
    </xf>
    <xf numFmtId="9" fontId="3" fillId="0" borderId="0" xfId="0" applyNumberFormat="1" applyFon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xf numFmtId="169" fontId="0" fillId="0" borderId="0" xfId="0" applyNumberFormat="1" applyFont="1"/>
    <xf numFmtId="1" fontId="0" fillId="0" borderId="0" xfId="0" applyNumberFormat="1" applyFont="1" applyFill="1"/>
    <xf numFmtId="0" fontId="3" fillId="0" borderId="17" xfId="0" applyFont="1" applyBorder="1" applyAlignment="1">
      <alignment horizontal="left"/>
    </xf>
    <xf numFmtId="175" fontId="3" fillId="0" borderId="0" xfId="0" applyNumberFormat="1" applyFont="1"/>
    <xf numFmtId="175" fontId="0" fillId="0" borderId="0" xfId="0" applyNumberFormat="1" applyFont="1"/>
    <xf numFmtId="44" fontId="0" fillId="0" borderId="0" xfId="0" applyNumberFormat="1" applyFont="1" applyBorder="1"/>
    <xf numFmtId="0" fontId="3" fillId="0" borderId="0" xfId="0" applyNumberFormat="1" applyFont="1" applyFill="1" applyAlignment="1">
      <alignment horizontal="left"/>
    </xf>
    <xf numFmtId="0" fontId="0" fillId="0" borderId="0" xfId="0"/>
    <xf numFmtId="49" fontId="0" fillId="0" borderId="0" xfId="0" applyNumberFormat="1"/>
    <xf numFmtId="2" fontId="3" fillId="0" borderId="0" xfId="0" applyNumberFormat="1" applyFont="1" applyFill="1"/>
    <xf numFmtId="0" fontId="0" fillId="0" borderId="0" xfId="0"/>
    <xf numFmtId="0" fontId="29" fillId="0" borderId="0" xfId="0" applyFont="1"/>
    <xf numFmtId="0" fontId="41" fillId="0" borderId="0" xfId="0" applyFont="1"/>
    <xf numFmtId="0" fontId="0" fillId="0" borderId="0" xfId="0"/>
    <xf numFmtId="0" fontId="0" fillId="0" borderId="0" xfId="0"/>
    <xf numFmtId="0" fontId="0" fillId="0" borderId="0" xfId="0" applyFont="1"/>
    <xf numFmtId="0" fontId="0" fillId="0" borderId="0" xfId="0" applyFont="1" applyAlignment="1">
      <alignment horizontal="left"/>
    </xf>
    <xf numFmtId="9" fontId="3" fillId="0" borderId="0" xfId="0" applyNumberFormat="1" applyFont="1" applyFill="1"/>
    <xf numFmtId="42" fontId="3" fillId="0" borderId="0" xfId="0" applyNumberFormat="1" applyFont="1"/>
    <xf numFmtId="166" fontId="3" fillId="0" borderId="0" xfId="0" applyNumberFormat="1" applyFont="1" applyFill="1"/>
    <xf numFmtId="169" fontId="3" fillId="0" borderId="0" xfId="0" applyNumberFormat="1" applyFont="1"/>
    <xf numFmtId="175" fontId="3" fillId="0" borderId="0" xfId="0" applyNumberFormat="1" applyFont="1"/>
    <xf numFmtId="0" fontId="3" fillId="0" borderId="0" xfId="0" applyFont="1" applyAlignment="1">
      <alignment horizontal="center"/>
    </xf>
    <xf numFmtId="0" fontId="0" fillId="0" borderId="0" xfId="0" applyBorder="1" applyAlignment="1">
      <alignment horizontal="left" vertical="center"/>
    </xf>
    <xf numFmtId="0" fontId="0" fillId="0" borderId="0" xfId="0" applyAlignment="1">
      <alignment horizontal="center"/>
    </xf>
    <xf numFmtId="44" fontId="0" fillId="0" borderId="0" xfId="133" applyFont="1"/>
    <xf numFmtId="9" fontId="4" fillId="0" borderId="13" xfId="3" applyNumberFormat="1" applyBorder="1"/>
    <xf numFmtId="169" fontId="0" fillId="0" borderId="17" xfId="0" applyNumberFormat="1" applyFont="1" applyBorder="1"/>
    <xf numFmtId="174" fontId="47" fillId="0" borderId="0" xfId="3" applyNumberFormat="1" applyFont="1"/>
    <xf numFmtId="0" fontId="0" fillId="28" borderId="0" xfId="0" applyFont="1" applyFill="1" applyAlignment="1">
      <alignment vertical="center" wrapText="1"/>
    </xf>
    <xf numFmtId="0" fontId="48" fillId="28" borderId="0" xfId="0" applyFont="1" applyFill="1" applyAlignment="1">
      <alignment vertical="center"/>
    </xf>
    <xf numFmtId="49" fontId="49" fillId="28" borderId="0" xfId="0" applyNumberFormat="1" applyFont="1" applyFill="1" applyAlignment="1">
      <alignment horizontal="left" vertical="center" wrapText="1"/>
    </xf>
    <xf numFmtId="0" fontId="0" fillId="0" borderId="0" xfId="0" applyFont="1" applyAlignment="1">
      <alignment vertical="center"/>
    </xf>
    <xf numFmtId="49" fontId="50" fillId="29" borderId="27" xfId="0" applyNumberFormat="1" applyFont="1" applyFill="1" applyBorder="1" applyAlignment="1">
      <alignment horizontal="left" vertical="center"/>
    </xf>
    <xf numFmtId="0" fontId="46" fillId="29" borderId="28" xfId="0" applyFont="1" applyFill="1" applyBorder="1" applyAlignment="1">
      <alignment vertical="center"/>
    </xf>
    <xf numFmtId="0" fontId="51" fillId="29" borderId="29" xfId="0" applyFont="1" applyFill="1" applyBorder="1" applyAlignment="1">
      <alignment vertical="center" wrapText="1"/>
    </xf>
    <xf numFmtId="49" fontId="0" fillId="24" borderId="33" xfId="0" applyNumberFormat="1" applyFont="1" applyFill="1" applyBorder="1" applyAlignment="1">
      <alignment horizontal="left" vertical="center" wrapText="1"/>
    </xf>
    <xf numFmtId="0" fontId="3" fillId="0" borderId="0" xfId="0" applyFont="1" applyAlignment="1">
      <alignment horizontal="center" wrapText="1"/>
    </xf>
    <xf numFmtId="0" fontId="49" fillId="0" borderId="0" xfId="0" applyFont="1" applyAlignment="1">
      <alignment vertical="center"/>
    </xf>
    <xf numFmtId="0" fontId="3" fillId="0" borderId="0" xfId="0" applyFont="1" applyFill="1" applyAlignment="1"/>
    <xf numFmtId="0" fontId="3" fillId="0" borderId="0" xfId="0" applyFont="1" applyAlignment="1">
      <alignment horizontal="center" vertical="center"/>
    </xf>
    <xf numFmtId="0" fontId="0" fillId="0" borderId="34" xfId="0" applyBorder="1"/>
    <xf numFmtId="0" fontId="29" fillId="32" borderId="12" xfId="0" applyFont="1" applyFill="1" applyBorder="1" applyAlignment="1">
      <alignment horizontal="center" vertical="center" wrapText="1"/>
    </xf>
    <xf numFmtId="0" fontId="29" fillId="32" borderId="12" xfId="0" applyFont="1" applyFill="1" applyBorder="1" applyAlignment="1">
      <alignment horizontal="left" vertical="center" wrapText="1"/>
    </xf>
    <xf numFmtId="0" fontId="49" fillId="0" borderId="0" xfId="0" applyFont="1" applyFill="1" applyAlignment="1">
      <alignment vertical="center"/>
    </xf>
    <xf numFmtId="0" fontId="29" fillId="24" borderId="12" xfId="151" applyFont="1" applyFill="1" applyBorder="1" applyAlignment="1">
      <alignment vertical="center" wrapText="1"/>
    </xf>
    <xf numFmtId="0" fontId="29" fillId="0" borderId="0" xfId="151" applyFont="1" applyFill="1" applyBorder="1" applyAlignment="1">
      <alignment horizontal="left" vertical="center" wrapText="1"/>
    </xf>
    <xf numFmtId="0" fontId="29" fillId="24" borderId="12" xfId="151" applyFont="1" applyFill="1" applyBorder="1" applyAlignment="1">
      <alignment horizontal="center" vertical="center" wrapText="1"/>
    </xf>
    <xf numFmtId="0" fontId="29" fillId="24" borderId="12" xfId="151" applyFont="1" applyFill="1" applyBorder="1" applyAlignment="1">
      <alignment horizontal="left" vertical="center" wrapText="1" indent="5"/>
    </xf>
    <xf numFmtId="0" fontId="29" fillId="24" borderId="12" xfId="151" applyFont="1" applyFill="1" applyBorder="1" applyAlignment="1">
      <alignment horizontal="left" vertical="center" wrapText="1"/>
    </xf>
    <xf numFmtId="0" fontId="29" fillId="0" borderId="0" xfId="151" applyFont="1" applyFill="1" applyBorder="1" applyAlignment="1">
      <alignment vertical="center" wrapText="1"/>
    </xf>
    <xf numFmtId="0" fontId="0" fillId="0" borderId="0" xfId="151" applyFont="1" applyFill="1" applyBorder="1" applyAlignment="1">
      <alignment horizontal="left"/>
    </xf>
    <xf numFmtId="0" fontId="29" fillId="0" borderId="0" xfId="152" applyFont="1" applyFill="1" applyBorder="1" applyAlignment="1">
      <alignment horizontal="left"/>
    </xf>
    <xf numFmtId="0" fontId="29" fillId="0" borderId="0" xfId="152" applyFont="1" applyFill="1" applyBorder="1"/>
    <xf numFmtId="0" fontId="29" fillId="0" borderId="0" xfId="151" applyFont="1" applyFill="1" applyBorder="1" applyAlignment="1">
      <alignment vertical="top" wrapText="1"/>
    </xf>
    <xf numFmtId="0" fontId="0" fillId="0" borderId="0" xfId="0" applyFont="1" applyFill="1" applyBorder="1" applyAlignment="1">
      <alignment horizontal="left" vertical="top" wrapText="1"/>
    </xf>
    <xf numFmtId="0" fontId="54" fillId="0" borderId="0" xfId="151" applyFont="1" applyFill="1" applyBorder="1" applyAlignment="1">
      <alignment vertical="center" wrapText="1"/>
    </xf>
    <xf numFmtId="0" fontId="29" fillId="33" borderId="35" xfId="0" applyFont="1" applyFill="1" applyBorder="1" applyAlignment="1">
      <alignment horizontal="center" vertical="center" wrapText="1"/>
    </xf>
    <xf numFmtId="0" fontId="29" fillId="33" borderId="35" xfId="0" applyFont="1" applyFill="1" applyBorder="1" applyAlignment="1">
      <alignment horizontal="left" vertical="center" wrapText="1"/>
    </xf>
    <xf numFmtId="0" fontId="29" fillId="33" borderId="0" xfId="0" applyFont="1" applyFill="1" applyBorder="1" applyAlignment="1">
      <alignment horizontal="left" vertical="center" wrapText="1"/>
    </xf>
    <xf numFmtId="0" fontId="54" fillId="33" borderId="35" xfId="0" applyFont="1" applyFill="1" applyBorder="1" applyAlignment="1">
      <alignment horizontal="center" vertical="center" wrapText="1"/>
    </xf>
    <xf numFmtId="0" fontId="54" fillId="33" borderId="35" xfId="0" applyFont="1" applyFill="1" applyBorder="1" applyAlignment="1">
      <alignment horizontal="left" vertical="center" wrapText="1"/>
    </xf>
    <xf numFmtId="0" fontId="29" fillId="34" borderId="36" xfId="151" applyFont="1" applyFill="1" applyBorder="1" applyAlignment="1">
      <alignment horizontal="center" vertical="center" wrapText="1"/>
    </xf>
    <xf numFmtId="0" fontId="29" fillId="34" borderId="36" xfId="151" applyFont="1" applyFill="1" applyBorder="1" applyAlignment="1">
      <alignment vertical="center" wrapText="1"/>
    </xf>
    <xf numFmtId="0" fontId="29" fillId="34" borderId="0" xfId="151" applyFont="1" applyFill="1" applyBorder="1" applyAlignment="1">
      <alignment vertical="center" wrapText="1"/>
    </xf>
    <xf numFmtId="0" fontId="29" fillId="34" borderId="0" xfId="151" applyFont="1" applyFill="1" applyBorder="1" applyAlignment="1">
      <alignment horizontal="center" vertical="center" wrapText="1"/>
    </xf>
    <xf numFmtId="0" fontId="1" fillId="35" borderId="0" xfId="0" applyFont="1" applyFill="1" applyBorder="1" applyAlignment="1">
      <alignment vertical="center"/>
    </xf>
    <xf numFmtId="0" fontId="55" fillId="35" borderId="0" xfId="0" applyFont="1" applyFill="1" applyBorder="1" applyAlignment="1">
      <alignment vertical="center" wrapText="1"/>
    </xf>
    <xf numFmtId="49" fontId="49" fillId="35" borderId="0" xfId="0" applyNumberFormat="1" applyFont="1" applyFill="1" applyAlignment="1">
      <alignment horizontal="left" vertical="center" wrapText="1"/>
    </xf>
    <xf numFmtId="0" fontId="49" fillId="35" borderId="0" xfId="0" applyFont="1" applyFill="1" applyAlignment="1">
      <alignment vertical="center"/>
    </xf>
    <xf numFmtId="0" fontId="56" fillId="35" borderId="0" xfId="0" applyFont="1" applyFill="1" applyAlignment="1">
      <alignment vertical="center"/>
    </xf>
    <xf numFmtId="49" fontId="49" fillId="35" borderId="0" xfId="0" applyNumberFormat="1" applyFont="1" applyFill="1" applyAlignment="1">
      <alignment horizontal="left" vertical="center"/>
    </xf>
    <xf numFmtId="0" fontId="0" fillId="0" borderId="0" xfId="0" applyFont="1" applyAlignment="1">
      <alignment vertical="center" wrapText="1"/>
    </xf>
    <xf numFmtId="49" fontId="49" fillId="0" borderId="0" xfId="0" applyNumberFormat="1" applyFont="1" applyAlignment="1">
      <alignment horizontal="left" vertical="center" wrapText="1"/>
    </xf>
    <xf numFmtId="42" fontId="29" fillId="32" borderId="12" xfId="0" applyNumberFormat="1" applyFont="1" applyFill="1" applyBorder="1" applyAlignment="1">
      <alignment horizontal="left" vertical="center" wrapText="1"/>
    </xf>
    <xf numFmtId="42" fontId="3" fillId="36" borderId="0" xfId="0" applyNumberFormat="1" applyFont="1" applyFill="1"/>
    <xf numFmtId="42" fontId="0" fillId="36" borderId="0" xfId="0" applyNumberFormat="1" applyFont="1" applyFill="1"/>
    <xf numFmtId="44" fontId="29" fillId="32" borderId="12" xfId="133" applyFont="1" applyFill="1" applyBorder="1" applyAlignment="1">
      <alignment horizontal="left" vertical="center" wrapText="1"/>
    </xf>
    <xf numFmtId="169" fontId="29" fillId="32" borderId="12" xfId="133" applyNumberFormat="1" applyFont="1" applyFill="1" applyBorder="1" applyAlignment="1">
      <alignment horizontal="left" vertical="center" wrapText="1"/>
    </xf>
    <xf numFmtId="169" fontId="29" fillId="32" borderId="12" xfId="133" applyNumberFormat="1" applyFont="1" applyFill="1" applyBorder="1" applyAlignment="1">
      <alignment horizontal="right" vertical="center" wrapText="1"/>
    </xf>
    <xf numFmtId="169" fontId="29" fillId="32" borderId="12" xfId="0" applyNumberFormat="1" applyFont="1" applyFill="1" applyBorder="1" applyAlignment="1">
      <alignment horizontal="left" vertical="center" wrapText="1"/>
    </xf>
    <xf numFmtId="44" fontId="0" fillId="36" borderId="0" xfId="0" applyNumberFormat="1" applyFont="1" applyFill="1"/>
    <xf numFmtId="175" fontId="3" fillId="0" borderId="17" xfId="0" applyNumberFormat="1" applyFont="1" applyFill="1" applyBorder="1"/>
    <xf numFmtId="0" fontId="3" fillId="0" borderId="17" xfId="0" applyFont="1" applyFill="1" applyBorder="1"/>
    <xf numFmtId="0" fontId="47" fillId="0" borderId="0" xfId="3" applyFont="1" applyBorder="1"/>
    <xf numFmtId="0" fontId="57" fillId="0" borderId="12" xfId="0" applyFont="1" applyBorder="1"/>
    <xf numFmtId="10" fontId="57" fillId="0" borderId="12" xfId="0" applyNumberFormat="1" applyFont="1" applyBorder="1"/>
    <xf numFmtId="0" fontId="57" fillId="0" borderId="0" xfId="0" applyFont="1"/>
    <xf numFmtId="10" fontId="57" fillId="0" borderId="0" xfId="0" applyNumberFormat="1" applyFont="1"/>
    <xf numFmtId="0" fontId="3" fillId="0" borderId="12" xfId="0" applyFont="1" applyBorder="1"/>
    <xf numFmtId="0" fontId="22" fillId="32" borderId="12" xfId="0" applyFont="1" applyFill="1" applyBorder="1" applyAlignment="1">
      <alignment horizontal="center" vertical="center" wrapText="1"/>
    </xf>
    <xf numFmtId="0" fontId="22" fillId="32" borderId="12" xfId="0" applyFont="1" applyFill="1" applyBorder="1" applyAlignment="1">
      <alignment horizontal="left" vertical="center" wrapText="1"/>
    </xf>
    <xf numFmtId="42" fontId="22" fillId="32" borderId="12" xfId="0" applyNumberFormat="1" applyFont="1" applyFill="1" applyBorder="1" applyAlignment="1">
      <alignment horizontal="left" vertical="center" wrapText="1"/>
    </xf>
    <xf numFmtId="9" fontId="3" fillId="0" borderId="12" xfId="150" applyFont="1" applyBorder="1"/>
    <xf numFmtId="167" fontId="3" fillId="0" borderId="12" xfId="0" applyNumberFormat="1" applyFont="1" applyBorder="1"/>
    <xf numFmtId="9" fontId="2" fillId="0" borderId="12" xfId="150" applyFont="1" applyBorder="1"/>
    <xf numFmtId="167" fontId="0" fillId="0" borderId="12" xfId="0" applyNumberFormat="1" applyFont="1" applyBorder="1"/>
    <xf numFmtId="169" fontId="22" fillId="32" borderId="12" xfId="133" applyNumberFormat="1" applyFont="1" applyFill="1" applyBorder="1" applyAlignment="1">
      <alignment horizontal="left" vertical="center" wrapText="1"/>
    </xf>
    <xf numFmtId="167" fontId="3" fillId="0" borderId="0" xfId="0" applyNumberFormat="1" applyFont="1"/>
    <xf numFmtId="0" fontId="3" fillId="0" borderId="12" xfId="0" applyFont="1" applyBorder="1" applyAlignment="1">
      <alignment horizontal="center" vertical="center"/>
    </xf>
    <xf numFmtId="169" fontId="22" fillId="32" borderId="12" xfId="0" applyNumberFormat="1" applyFont="1" applyFill="1" applyBorder="1" applyAlignment="1">
      <alignment horizontal="left" vertical="center" wrapText="1"/>
    </xf>
    <xf numFmtId="9" fontId="3" fillId="0" borderId="0" xfId="150" applyFont="1"/>
    <xf numFmtId="167" fontId="3" fillId="0" borderId="17" xfId="0" applyNumberFormat="1" applyFont="1" applyBorder="1"/>
    <xf numFmtId="49" fontId="0" fillId="30" borderId="30" xfId="0" applyNumberFormat="1" applyFont="1" applyFill="1" applyBorder="1" applyAlignment="1">
      <alignment horizontal="left" vertical="center" wrapText="1"/>
    </xf>
    <xf numFmtId="49" fontId="0" fillId="30" borderId="31" xfId="0" applyNumberFormat="1" applyFont="1" applyFill="1" applyBorder="1" applyAlignment="1">
      <alignment horizontal="left" vertical="center" wrapText="1"/>
    </xf>
    <xf numFmtId="49" fontId="0" fillId="30" borderId="32" xfId="0" applyNumberFormat="1" applyFont="1" applyFill="1" applyBorder="1" applyAlignment="1">
      <alignment horizontal="left" vertical="center" wrapText="1"/>
    </xf>
    <xf numFmtId="0" fontId="52" fillId="24" borderId="33" xfId="0" applyFont="1" applyFill="1" applyBorder="1" applyAlignment="1">
      <alignment horizontal="left" vertical="center"/>
    </xf>
    <xf numFmtId="0" fontId="3" fillId="31" borderId="0" xfId="0" applyFont="1" applyFill="1" applyAlignment="1">
      <alignment horizontal="center" vertical="center"/>
    </xf>
    <xf numFmtId="0" fontId="28" fillId="27" borderId="15" xfId="0" applyFont="1" applyFill="1" applyBorder="1" applyAlignment="1">
      <alignment horizontal="center"/>
    </xf>
    <xf numFmtId="0" fontId="28" fillId="27" borderId="18" xfId="0" applyFont="1" applyFill="1" applyBorder="1" applyAlignment="1">
      <alignment horizontal="center"/>
    </xf>
    <xf numFmtId="0" fontId="39" fillId="27" borderId="10" xfId="0" applyFont="1" applyFill="1" applyBorder="1" applyAlignment="1">
      <alignment horizontal="center"/>
    </xf>
    <xf numFmtId="0" fontId="39" fillId="27" borderId="13" xfId="0" applyFont="1" applyFill="1" applyBorder="1" applyAlignment="1">
      <alignment horizontal="center"/>
    </xf>
    <xf numFmtId="0" fontId="39" fillId="27" borderId="15" xfId="0" applyFont="1" applyFill="1" applyBorder="1" applyAlignment="1">
      <alignment horizontal="center"/>
    </xf>
    <xf numFmtId="0" fontId="39" fillId="27" borderId="18" xfId="0" applyFont="1" applyFill="1" applyBorder="1" applyAlignment="1">
      <alignment horizontal="center"/>
    </xf>
    <xf numFmtId="0" fontId="39" fillId="27" borderId="19" xfId="0" applyFont="1" applyFill="1" applyBorder="1" applyAlignment="1">
      <alignment horizontal="center"/>
    </xf>
    <xf numFmtId="0" fontId="39" fillId="27" borderId="14" xfId="0" applyFont="1" applyFill="1" applyBorder="1" applyAlignment="1">
      <alignment horizontal="center"/>
    </xf>
    <xf numFmtId="0" fontId="3" fillId="0" borderId="0" xfId="0" applyFont="1" applyAlignment="1">
      <alignment horizontal="center"/>
    </xf>
    <xf numFmtId="0" fontId="0" fillId="0" borderId="0" xfId="0" applyBorder="1" applyAlignment="1">
      <alignment horizontal="left" vertical="center"/>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0" fontId="0" fillId="0" borderId="0" xfId="0" applyAlignment="1">
      <alignment horizontal="center"/>
    </xf>
  </cellXfs>
  <cellStyles count="153">
    <cellStyle name="_x0013_" xfId="152"/>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3" xfId="82"/>
    <cellStyle name="Calculation 3 2" xfId="83"/>
    <cellStyle name="Check Cell 2" xfId="31"/>
    <cellStyle name="Check Cell 3" xfId="84"/>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3" xfId="95"/>
    <cellStyle name="Input 3 2" xfId="96"/>
    <cellStyle name="Linked Cell 2" xfId="39"/>
    <cellStyle name="Linked Cell 3" xfId="97"/>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13 2 3" xfId="151"/>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3" xfId="112"/>
    <cellStyle name="Note 3 2" xfId="113"/>
    <cellStyle name="Output 2" xfId="43"/>
    <cellStyle name="Output 2 2" xfId="114"/>
    <cellStyle name="Output 3" xfId="115"/>
    <cellStyle name="Output 3 2" xfId="116"/>
    <cellStyle name="Percent" xfId="150" builtinId="5"/>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3" xfId="124"/>
    <cellStyle name="Total 3 2" xfId="125"/>
    <cellStyle name="Warning Text 2" xfId="48"/>
    <cellStyle name="Warning Text 3" xfId="126"/>
  </cellStyles>
  <dxfs count="8">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0"/>
      </font>
      <fill>
        <patternFill patternType="solid">
          <fgColor indexed="64"/>
          <bgColor theme="7"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Tables'!$B$7:$E$7</c:f>
              <c:numCache>
                <c:formatCode>"$"#,##0</c:formatCode>
                <c:ptCount val="4"/>
                <c:pt idx="0">
                  <c:v>4723</c:v>
                </c:pt>
                <c:pt idx="1">
                  <c:v>9528</c:v>
                </c:pt>
                <c:pt idx="2">
                  <c:v>12821</c:v>
                </c:pt>
                <c:pt idx="3">
                  <c:v>12336</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Tables'!$B$8:$E$8</c:f>
              <c:numCache>
                <c:formatCode>"$"#,##0</c:formatCode>
                <c:ptCount val="4"/>
                <c:pt idx="0">
                  <c:v>990</c:v>
                </c:pt>
                <c:pt idx="1">
                  <c:v>4860</c:v>
                </c:pt>
                <c:pt idx="2">
                  <c:v>7566</c:v>
                </c:pt>
                <c:pt idx="3">
                  <c:v>17310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Tables'!$B$9:$E$9</c:f>
              <c:numCache>
                <c:formatCode>"$"#,##0</c:formatCode>
                <c:ptCount val="4"/>
                <c:pt idx="0">
                  <c:v>525</c:v>
                </c:pt>
                <c:pt idx="1">
                  <c:v>4723</c:v>
                </c:pt>
                <c:pt idx="2">
                  <c:v>23615</c:v>
                </c:pt>
                <c:pt idx="3">
                  <c:v>47230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Tables'!$B$10:$E$10</c:f>
              <c:numCache>
                <c:formatCode>"$"#,##0</c:formatCode>
                <c:ptCount val="4"/>
                <c:pt idx="0">
                  <c:v>5266</c:v>
                </c:pt>
                <c:pt idx="1">
                  <c:v>37796</c:v>
                </c:pt>
                <c:pt idx="2">
                  <c:v>149886</c:v>
                </c:pt>
                <c:pt idx="3">
                  <c:v>271294</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Tables'!$B$11:$E$11</c:f>
              <c:numCache>
                <c:formatCode>"$"#,##0</c:formatCode>
                <c:ptCount val="4"/>
                <c:pt idx="0">
                  <c:v>1324</c:v>
                </c:pt>
                <c:pt idx="1">
                  <c:v>10252</c:v>
                </c:pt>
                <c:pt idx="2">
                  <c:v>43849</c:v>
                </c:pt>
                <c:pt idx="3">
                  <c:v>81488</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Tables'!$B$12:$E$12</c:f>
              <c:numCache>
                <c:formatCode>"$"#,##0</c:formatCode>
                <c:ptCount val="4"/>
                <c:pt idx="0">
                  <c:v>711</c:v>
                </c:pt>
                <c:pt idx="1">
                  <c:v>5277</c:v>
                </c:pt>
                <c:pt idx="2">
                  <c:v>21735</c:v>
                </c:pt>
                <c:pt idx="3">
                  <c:v>40001</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Tables'!$B$13:$E$13</c:f>
              <c:numCache>
                <c:formatCode>"$"#,##0</c:formatCode>
                <c:ptCount val="4"/>
                <c:pt idx="0">
                  <c:v>5909</c:v>
                </c:pt>
                <c:pt idx="1">
                  <c:v>9082</c:v>
                </c:pt>
                <c:pt idx="2">
                  <c:v>21531</c:v>
                </c:pt>
                <c:pt idx="3">
                  <c:v>37860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Tables'!$B$14:$E$14</c:f>
              <c:numCache>
                <c:formatCode>"$"#,##0</c:formatCode>
                <c:ptCount val="4"/>
                <c:pt idx="0">
                  <c:v>1945</c:v>
                </c:pt>
                <c:pt idx="1">
                  <c:v>8152</c:v>
                </c:pt>
                <c:pt idx="2">
                  <c:v>28100</c:v>
                </c:pt>
                <c:pt idx="3">
                  <c:v>50752</c:v>
                </c:pt>
              </c:numCache>
            </c:numRef>
          </c:val>
        </c:ser>
        <c:dLbls>
          <c:showLegendKey val="0"/>
          <c:showVal val="0"/>
          <c:showCatName val="0"/>
          <c:showSerName val="0"/>
          <c:showPercent val="0"/>
          <c:showBubbleSize val="0"/>
        </c:dLbls>
        <c:gapWidth val="150"/>
        <c:overlap val="100"/>
        <c:axId val="397778872"/>
        <c:axId val="397781224"/>
      </c:barChart>
      <c:catAx>
        <c:axId val="397778872"/>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397781224"/>
        <c:crosses val="autoZero"/>
        <c:auto val="1"/>
        <c:lblAlgn val="ctr"/>
        <c:lblOffset val="100"/>
        <c:noMultiLvlLbl val="0"/>
      </c:catAx>
      <c:valAx>
        <c:axId val="397781224"/>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layout/>
          <c:overlay val="0"/>
          <c:txPr>
            <a:bodyPr rot="-5400000" vert="horz"/>
            <a:lstStyle/>
            <a:p>
              <a:pPr>
                <a:defRPr/>
              </a:pPr>
              <a:endParaRPr lang="en-US"/>
            </a:p>
          </c:txPr>
        </c:title>
        <c:numFmt formatCode="&quot;$&quot;#,##0" sourceLinked="1"/>
        <c:majorTickMark val="out"/>
        <c:minorTickMark val="none"/>
        <c:tickLblPos val="nextTo"/>
        <c:crossAx val="397778872"/>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Tables'!$B$22:$E$22</c:f>
              <c:numCache>
                <c:formatCode>"$"#,##0</c:formatCode>
                <c:ptCount val="4"/>
                <c:pt idx="0">
                  <c:v>4820</c:v>
                </c:pt>
                <c:pt idx="1">
                  <c:v>970</c:v>
                </c:pt>
                <c:pt idx="2">
                  <c:v>260</c:v>
                </c:pt>
                <c:pt idx="3">
                  <c:v>130</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Tables'!$B$23:$E$23</c:f>
              <c:numCache>
                <c:formatCode>"$"#,##0</c:formatCode>
                <c:ptCount val="4"/>
                <c:pt idx="0">
                  <c:v>1010</c:v>
                </c:pt>
                <c:pt idx="1">
                  <c:v>500</c:v>
                </c:pt>
                <c:pt idx="2">
                  <c:v>150</c:v>
                </c:pt>
                <c:pt idx="3">
                  <c:v>180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Tables'!$B$24:$E$24</c:f>
              <c:numCache>
                <c:formatCode>"$"#,##0</c:formatCode>
                <c:ptCount val="4"/>
                <c:pt idx="0">
                  <c:v>540</c:v>
                </c:pt>
                <c:pt idx="1">
                  <c:v>480</c:v>
                </c:pt>
                <c:pt idx="2">
                  <c:v>480</c:v>
                </c:pt>
                <c:pt idx="3">
                  <c:v>480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Tables'!$B$25:$E$25</c:f>
              <c:numCache>
                <c:formatCode>"$"#,##0</c:formatCode>
                <c:ptCount val="4"/>
                <c:pt idx="0">
                  <c:v>5370</c:v>
                </c:pt>
                <c:pt idx="1">
                  <c:v>3860</c:v>
                </c:pt>
                <c:pt idx="2">
                  <c:v>3060</c:v>
                </c:pt>
                <c:pt idx="3">
                  <c:v>2770</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Tables'!$B$26:$E$26</c:f>
              <c:numCache>
                <c:formatCode>"$"#,##0</c:formatCode>
                <c:ptCount val="4"/>
                <c:pt idx="0">
                  <c:v>1350</c:v>
                </c:pt>
                <c:pt idx="1">
                  <c:v>1050</c:v>
                </c:pt>
                <c:pt idx="2">
                  <c:v>890</c:v>
                </c:pt>
                <c:pt idx="3">
                  <c:v>830</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Tables'!$B$27:$E$27</c:f>
              <c:numCache>
                <c:formatCode>"$"#,##0</c:formatCode>
                <c:ptCount val="4"/>
                <c:pt idx="0">
                  <c:v>730</c:v>
                </c:pt>
                <c:pt idx="1">
                  <c:v>540</c:v>
                </c:pt>
                <c:pt idx="2">
                  <c:v>440</c:v>
                </c:pt>
                <c:pt idx="3">
                  <c:v>410</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Tables'!$B$28:$E$28</c:f>
              <c:numCache>
                <c:formatCode>"$"#,##0</c:formatCode>
                <c:ptCount val="4"/>
                <c:pt idx="0">
                  <c:v>6030</c:v>
                </c:pt>
                <c:pt idx="1">
                  <c:v>930</c:v>
                </c:pt>
                <c:pt idx="2">
                  <c:v>440</c:v>
                </c:pt>
                <c:pt idx="3">
                  <c:v>390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Tables'!$B$29:$E$29</c:f>
              <c:numCache>
                <c:formatCode>"$"#,##0</c:formatCode>
                <c:ptCount val="4"/>
                <c:pt idx="0">
                  <c:v>1980</c:v>
                </c:pt>
                <c:pt idx="1">
                  <c:v>830</c:v>
                </c:pt>
                <c:pt idx="2">
                  <c:v>570</c:v>
                </c:pt>
                <c:pt idx="3">
                  <c:v>520</c:v>
                </c:pt>
              </c:numCache>
            </c:numRef>
          </c:val>
        </c:ser>
        <c:dLbls>
          <c:showLegendKey val="0"/>
          <c:showVal val="0"/>
          <c:showCatName val="0"/>
          <c:showSerName val="0"/>
          <c:showPercent val="0"/>
          <c:showBubbleSize val="0"/>
        </c:dLbls>
        <c:gapWidth val="150"/>
        <c:overlap val="100"/>
        <c:axId val="397778480"/>
        <c:axId val="397779264"/>
      </c:barChart>
      <c:catAx>
        <c:axId val="397778480"/>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397779264"/>
        <c:crosses val="autoZero"/>
        <c:auto val="1"/>
        <c:lblAlgn val="ctr"/>
        <c:lblOffset val="100"/>
        <c:noMultiLvlLbl val="0"/>
      </c:catAx>
      <c:valAx>
        <c:axId val="39777926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layout/>
          <c:overlay val="0"/>
        </c:title>
        <c:numFmt formatCode="&quot;$&quot;#,##0" sourceLinked="1"/>
        <c:majorTickMark val="out"/>
        <c:minorTickMark val="none"/>
        <c:tickLblPos val="nextTo"/>
        <c:crossAx val="397778480"/>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Graphs'!$C$2:$E$2</c:f>
              <c:numCache>
                <c:formatCode>General</c:formatCode>
                <c:ptCount val="3"/>
                <c:pt idx="0">
                  <c:v>10</c:v>
                </c:pt>
                <c:pt idx="1">
                  <c:v>50</c:v>
                </c:pt>
                <c:pt idx="2">
                  <c:v>100</c:v>
                </c:pt>
              </c:numCache>
            </c:numRef>
          </c:cat>
          <c:val>
            <c:numRef>
              <c:f>('Report Tables'!$B$37,'Report Tables'!$D$37,'Report Tables'!$F$37)</c:f>
              <c:numCache>
                <c:formatCode>#,##0.0</c:formatCode>
                <c:ptCount val="3"/>
                <c:pt idx="0">
                  <c:v>4.3351737191514692</c:v>
                </c:pt>
                <c:pt idx="1">
                  <c:v>1.166685304547364</c:v>
                </c:pt>
                <c:pt idx="2" formatCode="0.0">
                  <c:v>0.56127974133201164</c:v>
                </c:pt>
              </c:numCache>
            </c:numRef>
          </c:val>
        </c:ser>
        <c:ser>
          <c:idx val="1"/>
          <c:order val="1"/>
          <c:tx>
            <c:strRef>
              <c:f>'Report Tables'!$A$8</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Tables'!$B$38,'Report Tables'!$D$38,'Report Tables'!$F$38)</c:f>
              <c:numCache>
                <c:formatCode>#,##0.0</c:formatCode>
                <c:ptCount val="3"/>
                <c:pt idx="0">
                  <c:v>2.2111780400429062</c:v>
                </c:pt>
                <c:pt idx="1">
                  <c:v>0.68846802678866792</c:v>
                </c:pt>
                <c:pt idx="2" formatCode="0.0">
                  <c:v>0.78756156117577591</c:v>
                </c:pt>
              </c:numCache>
            </c:numRef>
          </c:val>
        </c:ser>
        <c:ser>
          <c:idx val="3"/>
          <c:order val="2"/>
          <c:tx>
            <c:strRef>
              <c:f>'Report Tables'!$A$9</c:f>
              <c:strCache>
                <c:ptCount val="1"/>
                <c:pt idx="0">
                  <c:v>Mooring/Foundation</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Tables'!$B$39,'Report Tables'!$D$39,'Report Tables'!$F$39)</c:f>
              <c:numCache>
                <c:formatCode>#,##0.0</c:formatCode>
                <c:ptCount val="3"/>
                <c:pt idx="0">
                  <c:v>2.1488351036361406</c:v>
                </c:pt>
                <c:pt idx="1">
                  <c:v>2.1488351036361411</c:v>
                </c:pt>
                <c:pt idx="2" formatCode="0.0">
                  <c:v>2.1488351036361411</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Tables'!$B$40,'Report Tables'!$D$40,'Report Tables'!$F$40)</c:f>
              <c:numCache>
                <c:formatCode>#,##0.0</c:formatCode>
                <c:ptCount val="3"/>
                <c:pt idx="0">
                  <c:v>17.196393605780237</c:v>
                </c:pt>
                <c:pt idx="1">
                  <c:v>13.638873306207103</c:v>
                </c:pt>
                <c:pt idx="2" formatCode="0.0">
                  <c:v>12.343180342117424</c:v>
                </c:pt>
              </c:numCache>
            </c:numRef>
          </c:val>
        </c:ser>
        <c:ser>
          <c:idx val="5"/>
          <c:order val="4"/>
          <c:tx>
            <c:strRef>
              <c:f>'Report Tables'!$A$11</c:f>
              <c:strCache>
                <c:ptCount val="1"/>
                <c:pt idx="0">
                  <c:v>Power Take Off</c:v>
                </c:pt>
              </c:strCache>
            </c:strRef>
          </c:tx>
          <c:invertIfNegative val="0"/>
          <c:cat>
            <c:numRef>
              <c:f>'Report Graphs'!$C$2:$E$2</c:f>
              <c:numCache>
                <c:formatCode>General</c:formatCode>
                <c:ptCount val="3"/>
                <c:pt idx="0">
                  <c:v>10</c:v>
                </c:pt>
                <c:pt idx="1">
                  <c:v>50</c:v>
                </c:pt>
                <c:pt idx="2">
                  <c:v>100</c:v>
                </c:pt>
              </c:numCache>
            </c:numRef>
          </c:cat>
          <c:val>
            <c:numRef>
              <c:f>('Report Tables'!$B$41,'Report Tables'!$D$41,'Report Tables'!$F$41)</c:f>
              <c:numCache>
                <c:formatCode>#,##0.0</c:formatCode>
                <c:ptCount val="3"/>
                <c:pt idx="0">
                  <c:v>4.6641806374221328</c:v>
                </c:pt>
                <c:pt idx="1">
                  <c:v>3.9900012811475465</c:v>
                </c:pt>
                <c:pt idx="2" formatCode="0.0">
                  <c:v>3.7075034516053265</c:v>
                </c:pt>
              </c:numCache>
            </c:numRef>
          </c:val>
        </c:ser>
        <c:ser>
          <c:idx val="2"/>
          <c:order val="5"/>
          <c:tx>
            <c:strRef>
              <c:f>'Report Tables'!$A$12</c:f>
              <c:strCache>
                <c:ptCount val="1"/>
                <c:pt idx="0">
                  <c:v>Subsystem Integration &amp; Profit Margin</c:v>
                </c:pt>
              </c:strCache>
            </c:strRef>
          </c:tx>
          <c:invertIfNegative val="0"/>
          <c:cat>
            <c:numRef>
              <c:f>'Report Graphs'!$C$2:$E$2</c:f>
              <c:numCache>
                <c:formatCode>General</c:formatCode>
                <c:ptCount val="3"/>
                <c:pt idx="0">
                  <c:v>10</c:v>
                </c:pt>
                <c:pt idx="1">
                  <c:v>50</c:v>
                </c:pt>
                <c:pt idx="2">
                  <c:v>100</c:v>
                </c:pt>
              </c:numCache>
            </c:numRef>
          </c:cat>
          <c:val>
            <c:numRef>
              <c:f>('Report Tables'!$B$42,'Report Tables'!$D$42,'Report Tables'!$F$42)</c:f>
              <c:numCache>
                <c:formatCode>#,##0.0</c:formatCode>
                <c:ptCount val="3"/>
                <c:pt idx="0">
                  <c:v>2.4009409346838506</c:v>
                </c:pt>
                <c:pt idx="1">
                  <c:v>1.977770969099079</c:v>
                </c:pt>
                <c:pt idx="2" formatCode="0.0">
                  <c:v>1.8199518897358893</c:v>
                </c:pt>
              </c:numCache>
            </c:numRef>
          </c:val>
        </c:ser>
        <c:ser>
          <c:idx val="6"/>
          <c:order val="6"/>
          <c:tx>
            <c:strRef>
              <c:f>'Report Tables'!$A$13</c:f>
              <c:strCache>
                <c:ptCount val="1"/>
                <c:pt idx="0">
                  <c:v>Installation</c:v>
                </c:pt>
              </c:strCache>
            </c:strRef>
          </c:tx>
          <c:invertIfNegative val="0"/>
          <c:cat>
            <c:numRef>
              <c:f>'Report Graphs'!$C$2:$E$2</c:f>
              <c:numCache>
                <c:formatCode>General</c:formatCode>
                <c:ptCount val="3"/>
                <c:pt idx="0">
                  <c:v>10</c:v>
                </c:pt>
                <c:pt idx="1">
                  <c:v>50</c:v>
                </c:pt>
                <c:pt idx="2">
                  <c:v>100</c:v>
                </c:pt>
              </c:numCache>
            </c:numRef>
          </c:cat>
          <c:val>
            <c:numRef>
              <c:f>('Report Tables'!$B$43,'Report Tables'!$D$43,'Report Tables'!$F$43)</c:f>
              <c:numCache>
                <c:formatCode>#,##0.0</c:formatCode>
                <c:ptCount val="3"/>
                <c:pt idx="0">
                  <c:v>4.1320698769184414</c:v>
                </c:pt>
                <c:pt idx="1">
                  <c:v>1.9592334457019238</c:v>
                </c:pt>
                <c:pt idx="2" formatCode="0.0">
                  <c:v>1.7225163675427584</c:v>
                </c:pt>
              </c:numCache>
            </c:numRef>
          </c:val>
        </c:ser>
        <c:ser>
          <c:idx val="7"/>
          <c:order val="7"/>
          <c:tx>
            <c:strRef>
              <c:f>'Report Tables'!$A$14</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Tables'!$B$44,'Report Tables'!$D$44,'Report Tables'!$F$44)</c:f>
              <c:numCache>
                <c:formatCode>#,##0.0</c:formatCode>
                <c:ptCount val="3"/>
                <c:pt idx="0">
                  <c:v>3.7088771917635177</c:v>
                </c:pt>
                <c:pt idx="1">
                  <c:v>2.5569867437127831</c:v>
                </c:pt>
                <c:pt idx="2" formatCode="0.0">
                  <c:v>2.3090828457145336</c:v>
                </c:pt>
              </c:numCache>
            </c:numRef>
          </c:val>
        </c:ser>
        <c:dLbls>
          <c:showLegendKey val="0"/>
          <c:showVal val="0"/>
          <c:showCatName val="0"/>
          <c:showSerName val="0"/>
          <c:showPercent val="0"/>
          <c:showBubbleSize val="0"/>
        </c:dLbls>
        <c:gapWidth val="150"/>
        <c:overlap val="100"/>
        <c:axId val="497118608"/>
        <c:axId val="497119392"/>
      </c:barChart>
      <c:catAx>
        <c:axId val="49711860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497119392"/>
        <c:crosses val="autoZero"/>
        <c:auto val="1"/>
        <c:lblAlgn val="ctr"/>
        <c:lblOffset val="100"/>
        <c:noMultiLvlLbl val="0"/>
      </c:catAx>
      <c:valAx>
        <c:axId val="49711939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303E-2"/>
              <c:y val="0.32321127075469908"/>
            </c:manualLayout>
          </c:layout>
          <c:overlay val="0"/>
        </c:title>
        <c:numFmt formatCode="#,##0.0" sourceLinked="1"/>
        <c:majorTickMark val="out"/>
        <c:minorTickMark val="none"/>
        <c:tickLblPos val="nextTo"/>
        <c:crossAx val="49711860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Tables'!$B$52:$E$52</c:f>
              <c:numCache>
                <c:formatCode>"$"#,##0</c:formatCode>
                <c:ptCount val="4"/>
                <c:pt idx="0">
                  <c:v>294</c:v>
                </c:pt>
                <c:pt idx="1">
                  <c:v>1440</c:v>
                </c:pt>
                <c:pt idx="2">
                  <c:v>2682</c:v>
                </c:pt>
                <c:pt idx="3">
                  <c:v>2476</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Tables'!$B$53:$E$53</c:f>
              <c:numCache>
                <c:formatCode>"$"#,##0</c:formatCode>
                <c:ptCount val="4"/>
                <c:pt idx="0">
                  <c:v>710</c:v>
                </c:pt>
                <c:pt idx="1">
                  <c:v>1121</c:v>
                </c:pt>
                <c:pt idx="2">
                  <c:v>1121</c:v>
                </c:pt>
                <c:pt idx="3">
                  <c:v>1121</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Tables'!$B$54:$E$54</c:f>
              <c:numCache>
                <c:formatCode>"$"#,##0</c:formatCode>
                <c:ptCount val="4"/>
                <c:pt idx="0">
                  <c:v>25</c:v>
                </c:pt>
                <c:pt idx="1">
                  <c:v>249</c:v>
                </c:pt>
                <c:pt idx="2">
                  <c:v>525</c:v>
                </c:pt>
                <c:pt idx="3">
                  <c:v>1051</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Tables'!$B$55:$E$55</c:f>
              <c:numCache>
                <c:formatCode>"$"#,##0</c:formatCode>
                <c:ptCount val="4"/>
                <c:pt idx="0">
                  <c:v>142</c:v>
                </c:pt>
                <c:pt idx="1">
                  <c:v>400</c:v>
                </c:pt>
                <c:pt idx="2">
                  <c:v>455</c:v>
                </c:pt>
                <c:pt idx="3">
                  <c:v>675</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Tables'!$B$56:$E$56</c:f>
              <c:numCache>
                <c:formatCode>"$"#,##0</c:formatCode>
                <c:ptCount val="4"/>
                <c:pt idx="0">
                  <c:v>126</c:v>
                </c:pt>
                <c:pt idx="1">
                  <c:v>1149</c:v>
                </c:pt>
                <c:pt idx="2">
                  <c:v>5391</c:v>
                </c:pt>
                <c:pt idx="3">
                  <c:v>8219</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Tables'!$B$57:$E$57</c:f>
              <c:numCache>
                <c:formatCode>"$"#,##0</c:formatCode>
                <c:ptCount val="4"/>
                <c:pt idx="0">
                  <c:v>7</c:v>
                </c:pt>
                <c:pt idx="1">
                  <c:v>70</c:v>
                </c:pt>
                <c:pt idx="2">
                  <c:v>350</c:v>
                </c:pt>
                <c:pt idx="3">
                  <c:v>700</c:v>
                </c:pt>
              </c:numCache>
            </c:numRef>
          </c:val>
        </c:ser>
        <c:dLbls>
          <c:showLegendKey val="0"/>
          <c:showVal val="0"/>
          <c:showCatName val="0"/>
          <c:showSerName val="0"/>
          <c:showPercent val="0"/>
          <c:showBubbleSize val="0"/>
        </c:dLbls>
        <c:gapWidth val="150"/>
        <c:overlap val="100"/>
        <c:axId val="497119000"/>
        <c:axId val="497120568"/>
      </c:barChart>
      <c:catAx>
        <c:axId val="497119000"/>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497120568"/>
        <c:crosses val="autoZero"/>
        <c:auto val="1"/>
        <c:lblAlgn val="ctr"/>
        <c:lblOffset val="100"/>
        <c:noMultiLvlLbl val="0"/>
      </c:catAx>
      <c:valAx>
        <c:axId val="497120568"/>
        <c:scaling>
          <c:orientation val="minMax"/>
          <c:min val="0"/>
        </c:scaling>
        <c:delete val="0"/>
        <c:axPos val="l"/>
        <c:majorGridlines>
          <c:spPr>
            <a:ln>
              <a:solidFill>
                <a:schemeClr val="bg1">
                  <a:lumMod val="85000"/>
                </a:schemeClr>
              </a:solidFill>
            </a:ln>
          </c:spPr>
        </c:majorGridlines>
        <c:title>
          <c:tx>
            <c:strRef>
              <c:f>'Report Tables'!$A$49</c:f>
              <c:strCache>
                <c:ptCount val="1"/>
                <c:pt idx="0">
                  <c:v>Annual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497119000"/>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Tables'!$B$65:$E$65</c:f>
              <c:numCache>
                <c:formatCode>"$"#,##0</c:formatCode>
                <c:ptCount val="4"/>
                <c:pt idx="0">
                  <c:v>300</c:v>
                </c:pt>
                <c:pt idx="1">
                  <c:v>150</c:v>
                </c:pt>
                <c:pt idx="2">
                  <c:v>50</c:v>
                </c:pt>
                <c:pt idx="3">
                  <c:v>30</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Tables'!$B$66:$E$66</c:f>
              <c:numCache>
                <c:formatCode>"$"#,##0</c:formatCode>
                <c:ptCount val="4"/>
                <c:pt idx="0">
                  <c:v>720</c:v>
                </c:pt>
                <c:pt idx="1">
                  <c:v>110</c:v>
                </c:pt>
                <c:pt idx="2">
                  <c:v>20</c:v>
                </c:pt>
                <c:pt idx="3">
                  <c:v>10</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Tables'!$B$67:$E$67</c:f>
              <c:numCache>
                <c:formatCode>"$"#,##0</c:formatCode>
                <c:ptCount val="4"/>
                <c:pt idx="0">
                  <c:v>30</c:v>
                </c:pt>
                <c:pt idx="1">
                  <c:v>30</c:v>
                </c:pt>
                <c:pt idx="2">
                  <c:v>10</c:v>
                </c:pt>
                <c:pt idx="3">
                  <c:v>10</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Tables'!$B$68:$E$68</c:f>
              <c:numCache>
                <c:formatCode>"$"#,##0</c:formatCode>
                <c:ptCount val="4"/>
                <c:pt idx="0">
                  <c:v>140</c:v>
                </c:pt>
                <c:pt idx="1">
                  <c:v>40</c:v>
                </c:pt>
                <c:pt idx="2">
                  <c:v>10</c:v>
                </c:pt>
                <c:pt idx="3">
                  <c:v>10</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Tables'!$B$69:$E$69</c:f>
              <c:numCache>
                <c:formatCode>"$"#,##0</c:formatCode>
                <c:ptCount val="4"/>
                <c:pt idx="0">
                  <c:v>130</c:v>
                </c:pt>
                <c:pt idx="1">
                  <c:v>120</c:v>
                </c:pt>
                <c:pt idx="2">
                  <c:v>110</c:v>
                </c:pt>
                <c:pt idx="3">
                  <c:v>80</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Tables'!$B$70:$E$70</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150"/>
        <c:overlap val="100"/>
        <c:axId val="497120176"/>
        <c:axId val="497119784"/>
      </c:barChart>
      <c:catAx>
        <c:axId val="49712017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497119784"/>
        <c:crosses val="autoZero"/>
        <c:auto val="1"/>
        <c:lblAlgn val="ctr"/>
        <c:lblOffset val="100"/>
        <c:noMultiLvlLbl val="0"/>
      </c:catAx>
      <c:valAx>
        <c:axId val="49711978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284E-3"/>
              <c:y val="0.31372635021380851"/>
            </c:manualLayout>
          </c:layout>
          <c:overlay val="0"/>
        </c:title>
        <c:numFmt formatCode="&quot;$&quot;#,##0" sourceLinked="1"/>
        <c:majorTickMark val="out"/>
        <c:minorTickMark val="none"/>
        <c:tickLblPos val="nextTo"/>
        <c:crossAx val="49712017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Graphs'!$C$2:$E$2</c:f>
              <c:numCache>
                <c:formatCode>General</c:formatCode>
                <c:ptCount val="3"/>
                <c:pt idx="0">
                  <c:v>10</c:v>
                </c:pt>
                <c:pt idx="1">
                  <c:v>50</c:v>
                </c:pt>
                <c:pt idx="2">
                  <c:v>100</c:v>
                </c:pt>
              </c:numCache>
            </c:numRef>
          </c:cat>
          <c:val>
            <c:numRef>
              <c:f>('Report Tables'!$B$79,'Report Tables'!$D$79,'Report Tables'!$F$79)</c:f>
              <c:numCache>
                <c:formatCode>0.0</c:formatCode>
                <c:ptCount val="3"/>
                <c:pt idx="0">
                  <c:v>6.0654811478673523</c:v>
                </c:pt>
                <c:pt idx="1">
                  <c:v>2.2595539011648578</c:v>
                </c:pt>
                <c:pt idx="2">
                  <c:v>1.0430346627691349</c:v>
                </c:pt>
              </c:numCache>
            </c:numRef>
          </c:val>
        </c:ser>
        <c:ser>
          <c:idx val="1"/>
          <c:order val="1"/>
          <c:tx>
            <c:strRef>
              <c:f>'Report Tables'!$A$53</c:f>
              <c:strCache>
                <c:ptCount val="1"/>
                <c:pt idx="0">
                  <c:v>Environmental Monitoring &amp; Regulatory Compliance</c:v>
                </c:pt>
              </c:strCache>
            </c:strRef>
          </c:tx>
          <c:invertIfNegative val="0"/>
          <c:cat>
            <c:numRef>
              <c:f>'Report Graphs'!$C$2:$E$2</c:f>
              <c:numCache>
                <c:formatCode>General</c:formatCode>
                <c:ptCount val="3"/>
                <c:pt idx="0">
                  <c:v>10</c:v>
                </c:pt>
                <c:pt idx="1">
                  <c:v>50</c:v>
                </c:pt>
                <c:pt idx="2">
                  <c:v>100</c:v>
                </c:pt>
              </c:numCache>
            </c:numRef>
          </c:cat>
          <c:val>
            <c:numRef>
              <c:f>('Report Tables'!$B$80,'Report Tables'!$D$80,'Report Tables'!$F$80)</c:f>
              <c:numCache>
                <c:formatCode>0.0</c:formatCode>
                <c:ptCount val="3"/>
                <c:pt idx="0">
                  <c:v>4.7224710083982959</c:v>
                </c:pt>
                <c:pt idx="1">
                  <c:v>0.94449420167965936</c:v>
                </c:pt>
                <c:pt idx="2">
                  <c:v>0.47224710083982968</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Tables'!$B$81,'Report Tables'!$D$81,'Report Tables'!$F$81)</c:f>
              <c:numCache>
                <c:formatCode>0.0</c:formatCode>
                <c:ptCount val="3"/>
                <c:pt idx="0">
                  <c:v>1.0491805572181943</c:v>
                </c:pt>
                <c:pt idx="1">
                  <c:v>0.44267373199151921</c:v>
                </c:pt>
                <c:pt idx="2">
                  <c:v>0.44267373199151921</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Tables'!$B$82,'Report Tables'!$D$82,'Report Tables'!$F$82)</c:f>
              <c:numCache>
                <c:formatCode>0.0</c:formatCode>
                <c:ptCount val="3"/>
                <c:pt idx="0">
                  <c:v>1.684822627310242</c:v>
                </c:pt>
                <c:pt idx="1">
                  <c:v>0.38309898086541272</c:v>
                </c:pt>
                <c:pt idx="2">
                  <c:v>0.28420512990898988</c:v>
                </c:pt>
              </c:numCache>
            </c:numRef>
          </c:val>
        </c:ser>
        <c:ser>
          <c:idx val="5"/>
          <c:order val="4"/>
          <c:tx>
            <c:strRef>
              <c:f>'Report Tables'!$A$56</c:f>
              <c:strCache>
                <c:ptCount val="1"/>
                <c:pt idx="0">
                  <c:v>Replacement Parts</c:v>
                </c:pt>
              </c:strCache>
            </c:strRef>
          </c:tx>
          <c:invertIfNegative val="0"/>
          <c:cat>
            <c:numRef>
              <c:f>'Report Graphs'!$C$2:$E$2</c:f>
              <c:numCache>
                <c:formatCode>General</c:formatCode>
                <c:ptCount val="3"/>
                <c:pt idx="0">
                  <c:v>10</c:v>
                </c:pt>
                <c:pt idx="1">
                  <c:v>50</c:v>
                </c:pt>
                <c:pt idx="2">
                  <c:v>100</c:v>
                </c:pt>
              </c:numCache>
            </c:numRef>
          </c:cat>
          <c:val>
            <c:numRef>
              <c:f>('Report Tables'!$B$83,'Report Tables'!$D$83,'Report Tables'!$F$83)</c:f>
              <c:numCache>
                <c:formatCode>0.0</c:formatCode>
                <c:ptCount val="3"/>
                <c:pt idx="0">
                  <c:v>4.8403445398368206</c:v>
                </c:pt>
                <c:pt idx="1">
                  <c:v>4.542293012038904</c:v>
                </c:pt>
                <c:pt idx="2">
                  <c:v>3.4624115506904127</c:v>
                </c:pt>
              </c:numCache>
            </c:numRef>
          </c:val>
        </c:ser>
        <c:ser>
          <c:idx val="2"/>
          <c:order val="5"/>
          <c:tx>
            <c:strRef>
              <c:f>'Report Tables'!$A$57</c:f>
              <c:strCache>
                <c:ptCount val="1"/>
                <c:pt idx="0">
                  <c:v>Consumables</c:v>
                </c:pt>
              </c:strCache>
            </c:strRef>
          </c:tx>
          <c:invertIfNegative val="0"/>
          <c:cat>
            <c:numRef>
              <c:f>'Report Graphs'!$C$2:$E$2</c:f>
              <c:numCache>
                <c:formatCode>General</c:formatCode>
                <c:ptCount val="3"/>
                <c:pt idx="0">
                  <c:v>10</c:v>
                </c:pt>
                <c:pt idx="1">
                  <c:v>50</c:v>
                </c:pt>
                <c:pt idx="2">
                  <c:v>100</c:v>
                </c:pt>
              </c:numCache>
            </c:numRef>
          </c:cat>
          <c:val>
            <c:numRef>
              <c:f>('Report Tables'!$B$84,'Report Tables'!$D$84,'Report Tables'!$F$84)</c:f>
              <c:numCache>
                <c:formatCode>0.0</c:formatCode>
                <c:ptCount val="3"/>
                <c:pt idx="0">
                  <c:v>0.29489114236207026</c:v>
                </c:pt>
                <c:pt idx="1">
                  <c:v>0.29489114236207026</c:v>
                </c:pt>
                <c:pt idx="2">
                  <c:v>0.29489114236207026</c:v>
                </c:pt>
              </c:numCache>
            </c:numRef>
          </c:val>
        </c:ser>
        <c:dLbls>
          <c:showLegendKey val="0"/>
          <c:showVal val="0"/>
          <c:showCatName val="0"/>
          <c:showSerName val="0"/>
          <c:showPercent val="0"/>
          <c:showBubbleSize val="0"/>
        </c:dLbls>
        <c:gapWidth val="150"/>
        <c:overlap val="100"/>
        <c:axId val="493957608"/>
        <c:axId val="493958392"/>
      </c:barChart>
      <c:catAx>
        <c:axId val="49395760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493958392"/>
        <c:crosses val="autoZero"/>
        <c:auto val="1"/>
        <c:lblAlgn val="ctr"/>
        <c:lblOffset val="100"/>
        <c:noMultiLvlLbl val="0"/>
      </c:catAx>
      <c:valAx>
        <c:axId val="49395839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49395760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06862006326881E-2"/>
          <c:y val="3.7855439125480686E-2"/>
          <c:w val="0.85855879665527246"/>
          <c:h val="0.81786333241008191"/>
        </c:manualLayout>
      </c:layout>
      <c:scatterChart>
        <c:scatterStyle val="smoothMarker"/>
        <c:varyColors val="0"/>
        <c:ser>
          <c:idx val="0"/>
          <c:order val="0"/>
          <c:spPr>
            <a:ln w="31750">
              <a:solidFill>
                <a:srgbClr val="0070C0"/>
              </a:solidFill>
              <a:prstDash val="solid"/>
            </a:ln>
          </c:spPr>
          <c:marker>
            <c:symbol val="none"/>
          </c:marker>
          <c:xVal>
            <c:numRef>
              <c:f>'Report Graphs'!#REF!</c:f>
            </c:numRef>
          </c:xVal>
          <c:yVal>
            <c:numRef>
              <c:f>'Report Graphs'!#REF!</c:f>
              <c:numCache>
                <c:formatCode>General</c:formatCode>
                <c:ptCount val="1"/>
                <c:pt idx="0">
                  <c:v>1</c:v>
                </c:pt>
              </c:numCache>
            </c:numRef>
          </c:yVal>
          <c:smooth val="1"/>
        </c:ser>
        <c:ser>
          <c:idx val="1"/>
          <c:order val="1"/>
          <c:spPr>
            <a:ln>
              <a:prstDash val="dash"/>
            </a:ln>
          </c:spPr>
          <c:marker>
            <c:symbol val="none"/>
          </c:marker>
          <c:xVal>
            <c:numRef>
              <c:f>('Report Graphs'!#REF!,'Report Graphs'!#REF!)</c:f>
            </c:numRef>
          </c:xVal>
          <c:yVal>
            <c:numRef>
              <c:f>('Report Graphs'!#REF!,'Report Graphs'!#REF!)</c:f>
              <c:numCache>
                <c:formatCode>General</c:formatCode>
                <c:ptCount val="1"/>
                <c:pt idx="0">
                  <c:v>1</c:v>
                </c:pt>
              </c:numCache>
            </c:numRef>
          </c:yVal>
          <c:smooth val="1"/>
        </c:ser>
        <c:ser>
          <c:idx val="2"/>
          <c:order val="2"/>
          <c:spPr>
            <a:ln>
              <a:prstDash val="dash"/>
            </a:ln>
          </c:spPr>
          <c:marker>
            <c:symbol val="none"/>
          </c:marker>
          <c:xVal>
            <c:numRef>
              <c:f>('Report Graphs'!#REF!,'Report Graphs'!#REF!)</c:f>
            </c:numRef>
          </c:xVal>
          <c:yVal>
            <c:numRef>
              <c:f>('Report Graphs'!#REF!,'Report Graphs'!#REF!)</c:f>
              <c:numCache>
                <c:formatCode>General</c:formatCode>
                <c:ptCount val="1"/>
                <c:pt idx="0">
                  <c:v>1</c:v>
                </c:pt>
              </c:numCache>
            </c:numRef>
          </c:yVal>
          <c:smooth val="1"/>
        </c:ser>
        <c:dLbls>
          <c:showLegendKey val="0"/>
          <c:showVal val="0"/>
          <c:showCatName val="0"/>
          <c:showSerName val="0"/>
          <c:showPercent val="0"/>
          <c:showBubbleSize val="0"/>
        </c:dLbls>
        <c:axId val="493956824"/>
        <c:axId val="493954864"/>
      </c:scatterChart>
      <c:valAx>
        <c:axId val="493956824"/>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954864"/>
        <c:crosses val="autoZero"/>
        <c:crossBetween val="midCat"/>
      </c:valAx>
      <c:valAx>
        <c:axId val="493954864"/>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layout>
            <c:manualLayout>
              <c:xMode val="edge"/>
              <c:yMode val="edge"/>
              <c:x val="1.4563033989683331E-2"/>
              <c:y val="0.26342025086060222"/>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956824"/>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Tables'!$A$92</c:f>
              <c:strCache>
                <c:ptCount val="1"/>
                <c:pt idx="0">
                  <c:v>Device</c:v>
                </c:pt>
              </c:strCache>
            </c:strRef>
          </c:tx>
          <c:invertIfNegative val="0"/>
          <c:cat>
            <c:numRef>
              <c:f>'Report Graphs'!$C$2:$E$2</c:f>
              <c:numCache>
                <c:formatCode>General</c:formatCode>
                <c:ptCount val="3"/>
                <c:pt idx="0">
                  <c:v>10</c:v>
                </c:pt>
                <c:pt idx="1">
                  <c:v>50</c:v>
                </c:pt>
                <c:pt idx="2">
                  <c:v>100</c:v>
                </c:pt>
              </c:numCache>
            </c:numRef>
          </c:cat>
          <c:val>
            <c:numRef>
              <c:f>('Report Tables'!$B$92,'Report Tables'!$D$92,'Report Tables'!$F$92)</c:f>
              <c:numCache>
                <c:formatCode>0.0</c:formatCode>
                <c:ptCount val="3"/>
                <c:pt idx="0">
                  <c:v>26.410350281522362</c:v>
                </c:pt>
                <c:pt idx="1">
                  <c:v>21.755480660089869</c:v>
                </c:pt>
                <c:pt idx="2">
                  <c:v>20.019470787094782</c:v>
                </c:pt>
              </c:numCache>
            </c:numRef>
          </c:val>
        </c:ser>
        <c:ser>
          <c:idx val="1"/>
          <c:order val="1"/>
          <c:tx>
            <c:strRef>
              <c:f>'Report Tables'!$A$93</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Tables'!$B$93,'Report Tables'!$D$93,'Report Tables'!$F$93)</c:f>
              <c:numCache>
                <c:formatCode>0.0</c:formatCode>
                <c:ptCount val="3"/>
                <c:pt idx="0">
                  <c:v>2.2111780400429062</c:v>
                </c:pt>
                <c:pt idx="1">
                  <c:v>0.68846802678866792</c:v>
                </c:pt>
                <c:pt idx="2">
                  <c:v>0.78756156117577591</c:v>
                </c:pt>
              </c:numCache>
            </c:numRef>
          </c:val>
        </c:ser>
        <c:ser>
          <c:idx val="3"/>
          <c:order val="2"/>
          <c:tx>
            <c:strRef>
              <c:f>'Report Tables'!$A$94</c:f>
              <c:strCache>
                <c:ptCount val="1"/>
                <c:pt idx="0">
                  <c:v>Development</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Tables'!$B$94,'Report Tables'!$D$94,'Report Tables'!$F$94)</c:f>
              <c:numCache>
                <c:formatCode>0.0</c:formatCode>
                <c:ptCount val="3"/>
                <c:pt idx="0">
                  <c:v>4.3351737191514692</c:v>
                </c:pt>
                <c:pt idx="1">
                  <c:v>1.166685304547364</c:v>
                </c:pt>
                <c:pt idx="2">
                  <c:v>0.56127974133201164</c:v>
                </c:pt>
              </c:numCache>
            </c:numRef>
          </c:val>
        </c:ser>
        <c:ser>
          <c:idx val="4"/>
          <c:order val="3"/>
          <c:tx>
            <c:strRef>
              <c:f>'Report Tables'!$A$95</c:f>
              <c:strCache>
                <c:ptCount val="1"/>
                <c:pt idx="0">
                  <c:v>Installation</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Tables'!$B$95,'Report Tables'!$D$95,'Report Tables'!$F$95)</c:f>
              <c:numCache>
                <c:formatCode>0.0</c:formatCode>
                <c:ptCount val="3"/>
                <c:pt idx="0">
                  <c:v>4.1320698769184414</c:v>
                </c:pt>
                <c:pt idx="1">
                  <c:v>1.9592334457019238</c:v>
                </c:pt>
                <c:pt idx="2">
                  <c:v>1.7225163675427584</c:v>
                </c:pt>
              </c:numCache>
            </c:numRef>
          </c:val>
        </c:ser>
        <c:ser>
          <c:idx val="5"/>
          <c:order val="4"/>
          <c:tx>
            <c:strRef>
              <c:f>'Report Tables'!$A$96</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Tables'!$B$96,'Report Tables'!$D$96,'Report Tables'!$F$96)</c:f>
              <c:numCache>
                <c:formatCode>0.0</c:formatCode>
                <c:ptCount val="3"/>
                <c:pt idx="0">
                  <c:v>3.7088771917635177</c:v>
                </c:pt>
                <c:pt idx="1">
                  <c:v>2.5569867437127831</c:v>
                </c:pt>
                <c:pt idx="2">
                  <c:v>2.3090828457145336</c:v>
                </c:pt>
              </c:numCache>
            </c:numRef>
          </c:val>
        </c:ser>
        <c:ser>
          <c:idx val="2"/>
          <c:order val="5"/>
          <c:tx>
            <c:strRef>
              <c:f>'Report Tables'!$A$97</c:f>
              <c:strCache>
                <c:ptCount val="1"/>
                <c:pt idx="0">
                  <c:v>Operation and Maintenance</c:v>
                </c:pt>
              </c:strCache>
            </c:strRef>
          </c:tx>
          <c:invertIfNegative val="0"/>
          <c:cat>
            <c:numRef>
              <c:f>'Report Graphs'!$C$2:$E$2</c:f>
              <c:numCache>
                <c:formatCode>General</c:formatCode>
                <c:ptCount val="3"/>
                <c:pt idx="0">
                  <c:v>10</c:v>
                </c:pt>
                <c:pt idx="1">
                  <c:v>50</c:v>
                </c:pt>
                <c:pt idx="2">
                  <c:v>100</c:v>
                </c:pt>
              </c:numCache>
            </c:numRef>
          </c:cat>
          <c:val>
            <c:numRef>
              <c:f>('Report Tables'!$B$97,'Report Tables'!$D$97,'Report Tables'!$F$97)</c:f>
              <c:numCache>
                <c:formatCode>0.0</c:formatCode>
                <c:ptCount val="3"/>
                <c:pt idx="0">
                  <c:v>18.657191022992976</c:v>
                </c:pt>
                <c:pt idx="1">
                  <c:v>8.8670049701024229</c:v>
                </c:pt>
                <c:pt idx="2">
                  <c:v>5.9994633185619568</c:v>
                </c:pt>
              </c:numCache>
            </c:numRef>
          </c:val>
        </c:ser>
        <c:dLbls>
          <c:showLegendKey val="0"/>
          <c:showVal val="0"/>
          <c:showCatName val="0"/>
          <c:showSerName val="0"/>
          <c:showPercent val="0"/>
          <c:showBubbleSize val="0"/>
        </c:dLbls>
        <c:gapWidth val="150"/>
        <c:overlap val="100"/>
        <c:axId val="493955648"/>
        <c:axId val="493956040"/>
      </c:barChart>
      <c:catAx>
        <c:axId val="49395564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manualLayout>
              <c:xMode val="edge"/>
              <c:yMode val="edge"/>
              <c:x val="0.38175822733534709"/>
              <c:y val="0.9177864792344026"/>
            </c:manualLayout>
          </c:layout>
          <c:overlay val="0"/>
        </c:title>
        <c:numFmt formatCode="0" sourceLinked="0"/>
        <c:majorTickMark val="out"/>
        <c:minorTickMark val="none"/>
        <c:tickLblPos val="nextTo"/>
        <c:crossAx val="493956040"/>
        <c:crosses val="autoZero"/>
        <c:auto val="1"/>
        <c:lblAlgn val="ctr"/>
        <c:lblOffset val="100"/>
        <c:noMultiLvlLbl val="0"/>
      </c:catAx>
      <c:valAx>
        <c:axId val="493956040"/>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49395564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134369</xdr:colOff>
      <xdr:row>15</xdr:row>
      <xdr:rowOff>170089</xdr:rowOff>
    </xdr:from>
    <xdr:to>
      <xdr:col>11</xdr:col>
      <xdr:colOff>335602</xdr:colOff>
      <xdr:row>39</xdr:row>
      <xdr:rowOff>86746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69" y="2646589"/>
          <a:ext cx="6923162" cy="448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absoluteAnchor>
    <xdr:pos x="0" y="42786301"/>
    <xdr:ext cx="6867525" cy="3790950"/>
    <xdr:graphicFrame macro="">
      <xdr:nvGraphicFramePr>
        <xdr:cNvPr id="12" name="Chart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20</xdr:row>
          <xdr:rowOff>0</xdr:rowOff>
        </xdr:from>
        <xdr:to>
          <xdr:col>9</xdr:col>
          <xdr:colOff>495300</xdr:colOff>
          <xdr:row>20</xdr:row>
          <xdr:rowOff>0</xdr:rowOff>
        </xdr:to>
        <xdr:sp macro="" textlink="">
          <xdr:nvSpPr>
            <xdr:cNvPr id="29697" name="CommandButton1" hidden="1">
              <a:extLst>
                <a:ext uri="{63B3BB69-23CF-44E3-9099-C40C66FF867C}">
                  <a14:compatExt spid="_x0000_s29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264883</xdr:colOff>
      <xdr:row>2</xdr:row>
      <xdr:rowOff>72571</xdr:rowOff>
    </xdr:from>
    <xdr:to>
      <xdr:col>22</xdr:col>
      <xdr:colOff>395058</xdr:colOff>
      <xdr:row>24</xdr:row>
      <xdr:rowOff>86245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50383" y="435428"/>
          <a:ext cx="8385175" cy="40051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Tidal%20Energy%20Reference%20Model%201\Tidal%20Performanc%20&amp;%20Economic%20Model\3-31-2011%20Final%20Results\Previous%20Work\MCT%20Model%20Short%20MP%2004-2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rojects\SnoPUD\Resource%20Measurements\AI_AH_ADCP_new\AI_AH_1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rojects\SnoPUD\Resource%20Measurements\AI_AH_ADCP_new\AI_AH_1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rko\AppData\Local\Microsoft\Windows\Temporary%20Internet%20Files\Content.Outlook\HQ0EO667\Tidal%20Cost%20JE%204-20-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irko\AppData\Local\Microsoft\Windows\Temporary%20Internet%20Files\Content.Outlook\HQ0EO667\OCT%20Cost%20JE%206-10-2012v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s>
    <sheetDataSet>
      <sheetData sheetId="0">
        <row r="10">
          <cell r="E10">
            <v>31</v>
          </cell>
        </row>
        <row r="11">
          <cell r="E11">
            <v>60</v>
          </cell>
        </row>
      </sheetData>
      <sheetData sheetId="1"/>
      <sheetData sheetId="2" refreshError="1"/>
      <sheetData sheetId="3"/>
      <sheetData sheetId="4"/>
      <sheetData sheetId="5"/>
      <sheetData sheetId="6"/>
      <sheetData sheetId="7"/>
      <sheetData sheetId="8"/>
      <sheetData sheetId="9"/>
      <sheetData sheetId="10"/>
      <sheetData sheetId="11">
        <row r="76">
          <cell r="G76">
            <v>9.0572366426390674E-2</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rko@re-vision.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zoomScale="70" zoomScaleNormal="70" workbookViewId="0">
      <selection activeCell="B12" sqref="B12"/>
    </sheetView>
  </sheetViews>
  <sheetFormatPr defaultRowHeight="14.5" x14ac:dyDescent="0.35"/>
  <cols>
    <col min="1" max="1" width="3.6328125" customWidth="1"/>
    <col min="2" max="2" width="12.6328125" customWidth="1"/>
    <col min="3" max="3" width="11" customWidth="1"/>
  </cols>
  <sheetData>
    <row r="1" spans="1:4" x14ac:dyDescent="0.35">
      <c r="A1" s="57" t="s">
        <v>253</v>
      </c>
    </row>
    <row r="3" spans="1:4" x14ac:dyDescent="0.35">
      <c r="A3" t="s">
        <v>143</v>
      </c>
      <c r="C3" t="s">
        <v>139</v>
      </c>
    </row>
    <row r="4" spans="1:4" x14ac:dyDescent="0.35">
      <c r="A4" t="s">
        <v>140</v>
      </c>
      <c r="C4" t="s">
        <v>198</v>
      </c>
    </row>
    <row r="5" spans="1:4" x14ac:dyDescent="0.35">
      <c r="A5" t="s">
        <v>141</v>
      </c>
      <c r="C5" s="114" t="s">
        <v>142</v>
      </c>
    </row>
    <row r="6" spans="1:4" x14ac:dyDescent="0.35">
      <c r="A6" t="s">
        <v>144</v>
      </c>
      <c r="C6" s="115">
        <v>42923</v>
      </c>
    </row>
    <row r="8" spans="1:4" x14ac:dyDescent="0.35">
      <c r="A8" t="s">
        <v>85</v>
      </c>
    </row>
    <row r="9" spans="1:4" x14ac:dyDescent="0.35">
      <c r="B9" t="s">
        <v>1337</v>
      </c>
    </row>
    <row r="10" spans="1:4" x14ac:dyDescent="0.35">
      <c r="B10" t="s">
        <v>1346</v>
      </c>
    </row>
    <row r="11" spans="1:4" s="695" customFormat="1" x14ac:dyDescent="0.35">
      <c r="B11" s="695" t="s">
        <v>1347</v>
      </c>
    </row>
    <row r="12" spans="1:4" s="695" customFormat="1" x14ac:dyDescent="0.35">
      <c r="B12" s="695" t="s">
        <v>1348</v>
      </c>
    </row>
    <row r="14" spans="1:4" s="204" customFormat="1" x14ac:dyDescent="0.35">
      <c r="B14" s="208"/>
      <c r="C14" s="207"/>
      <c r="D14" s="207"/>
    </row>
    <row r="15" spans="1:4" x14ac:dyDescent="0.35">
      <c r="A15" t="s">
        <v>145</v>
      </c>
    </row>
  </sheetData>
  <hyperlinks>
    <hyperlink ref="C5"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6"/>
  <sheetViews>
    <sheetView zoomScale="70" zoomScaleNormal="70" workbookViewId="0">
      <selection activeCell="L29" sqref="L29"/>
    </sheetView>
  </sheetViews>
  <sheetFormatPr defaultRowHeight="14.5" x14ac:dyDescent="0.35"/>
  <cols>
    <col min="1" max="1" width="8.6328125" customWidth="1"/>
    <col min="2" max="2" width="7.90625" customWidth="1"/>
    <col min="3" max="3" width="35.36328125" customWidth="1"/>
    <col min="4" max="4" width="13.08984375" customWidth="1"/>
    <col min="5" max="5" width="19.54296875" customWidth="1"/>
    <col min="6" max="6" width="17.54296875" customWidth="1"/>
    <col min="7" max="7" width="16.453125" bestFit="1" customWidth="1"/>
    <col min="8" max="8" width="18.08984375" bestFit="1" customWidth="1"/>
    <col min="9" max="9" width="17.6328125" bestFit="1" customWidth="1"/>
    <col min="10" max="10" width="16.36328125" customWidth="1"/>
    <col min="11" max="11" width="15" customWidth="1"/>
    <col min="12" max="12" width="18.6328125" customWidth="1"/>
    <col min="13" max="13" width="17.36328125" customWidth="1"/>
    <col min="14" max="14" width="18.90625" customWidth="1"/>
    <col min="15" max="15" width="14.453125" customWidth="1"/>
    <col min="17" max="17" width="11.08984375" customWidth="1"/>
    <col min="18" max="18" width="12.36328125" customWidth="1"/>
    <col min="19" max="19" width="10.54296875" customWidth="1"/>
    <col min="20" max="20" width="12.453125" bestFit="1" customWidth="1"/>
    <col min="21" max="21" width="12" bestFit="1" customWidth="1"/>
  </cols>
  <sheetData>
    <row r="1" spans="1:15" s="11" customFormat="1" x14ac:dyDescent="0.35">
      <c r="A1" s="457" t="s">
        <v>351</v>
      </c>
      <c r="C1" s="36"/>
      <c r="D1" s="36"/>
      <c r="E1" s="36"/>
      <c r="J1" s="490"/>
      <c r="K1" s="490"/>
      <c r="L1" s="490"/>
      <c r="M1" s="490"/>
      <c r="N1" s="490"/>
      <c r="O1" s="490"/>
    </row>
    <row r="2" spans="1:15" s="11" customFormat="1" x14ac:dyDescent="0.35">
      <c r="A2" s="12"/>
      <c r="C2" s="36"/>
      <c r="D2" s="36"/>
      <c r="E2" s="78"/>
      <c r="F2" s="425"/>
      <c r="G2" s="425"/>
      <c r="H2" s="425"/>
      <c r="J2" s="490"/>
      <c r="K2" s="490"/>
      <c r="L2" s="490"/>
      <c r="M2" s="490"/>
      <c r="N2" s="490"/>
      <c r="O2" s="490"/>
    </row>
    <row r="3" spans="1:15" x14ac:dyDescent="0.35">
      <c r="A3" s="205" t="s">
        <v>98</v>
      </c>
      <c r="C3" s="36"/>
      <c r="D3" s="36"/>
      <c r="E3" s="425"/>
      <c r="J3" s="490"/>
      <c r="K3" s="490"/>
      <c r="L3" s="490"/>
      <c r="M3" s="490"/>
      <c r="N3" s="490"/>
      <c r="O3" s="490"/>
    </row>
    <row r="4" spans="1:15" s="36" customFormat="1" x14ac:dyDescent="0.35">
      <c r="B4" s="37"/>
      <c r="E4" s="206" t="s">
        <v>73</v>
      </c>
      <c r="F4" s="206" t="s">
        <v>95</v>
      </c>
      <c r="G4" s="206" t="s">
        <v>97</v>
      </c>
      <c r="H4" s="206" t="s">
        <v>96</v>
      </c>
      <c r="J4" s="490"/>
      <c r="K4" s="492"/>
      <c r="L4" s="492"/>
      <c r="M4" s="492"/>
      <c r="N4" s="492"/>
      <c r="O4" s="491"/>
    </row>
    <row r="5" spans="1:15" s="36" customFormat="1" x14ac:dyDescent="0.35">
      <c r="B5" s="37" t="s">
        <v>89</v>
      </c>
      <c r="C5" s="36" t="s">
        <v>3</v>
      </c>
      <c r="E5" s="199">
        <f>F20</f>
        <v>335000</v>
      </c>
      <c r="F5" s="199">
        <f>G20</f>
        <v>425000</v>
      </c>
      <c r="G5" s="199">
        <f>H20</f>
        <v>425000</v>
      </c>
      <c r="H5" s="199">
        <f>H20</f>
        <v>425000</v>
      </c>
      <c r="J5" s="490"/>
      <c r="K5" s="493"/>
      <c r="L5" s="493"/>
      <c r="M5" s="493"/>
      <c r="N5" s="493"/>
      <c r="O5" s="490"/>
    </row>
    <row r="6" spans="1:15" s="36" customFormat="1" x14ac:dyDescent="0.35">
      <c r="B6" s="37" t="s">
        <v>90</v>
      </c>
      <c r="C6" s="36" t="s">
        <v>5</v>
      </c>
      <c r="E6" s="199">
        <f>F35</f>
        <v>1632500</v>
      </c>
      <c r="F6" s="199">
        <f>G35</f>
        <v>2850000</v>
      </c>
      <c r="G6" s="199">
        <f>H35</f>
        <v>2782500</v>
      </c>
      <c r="H6" s="199">
        <f>H35</f>
        <v>2782500</v>
      </c>
      <c r="J6" s="490"/>
      <c r="K6" s="490"/>
      <c r="L6" s="490"/>
      <c r="M6" s="490"/>
      <c r="N6" s="490"/>
      <c r="O6" s="490"/>
    </row>
    <row r="7" spans="1:15" s="36" customFormat="1" x14ac:dyDescent="0.35">
      <c r="B7" s="37" t="s">
        <v>91</v>
      </c>
      <c r="C7" s="36" t="s">
        <v>7</v>
      </c>
      <c r="E7" s="199">
        <f>F48</f>
        <v>710000</v>
      </c>
      <c r="F7" s="199">
        <f>G48</f>
        <v>2270000</v>
      </c>
      <c r="G7" s="199">
        <f>H48</f>
        <v>2270000</v>
      </c>
      <c r="H7" s="199">
        <f>H48</f>
        <v>2270000</v>
      </c>
      <c r="J7" s="490"/>
      <c r="K7" s="490"/>
      <c r="L7" s="490"/>
      <c r="M7" s="490"/>
      <c r="N7" s="490"/>
      <c r="O7" s="490"/>
    </row>
    <row r="8" spans="1:15" x14ac:dyDescent="0.35">
      <c r="A8" s="12"/>
      <c r="B8" s="37" t="s">
        <v>92</v>
      </c>
      <c r="C8" s="36" t="s">
        <v>8</v>
      </c>
      <c r="D8" s="11"/>
      <c r="E8" s="199">
        <f>F54</f>
        <v>925000</v>
      </c>
      <c r="F8" s="199">
        <f>G54</f>
        <v>1315000</v>
      </c>
      <c r="G8" s="199">
        <f>H54</f>
        <v>1540000</v>
      </c>
      <c r="H8" s="199">
        <f>H54</f>
        <v>1540000</v>
      </c>
      <c r="J8" s="490"/>
      <c r="K8" s="490"/>
      <c r="L8" s="490"/>
      <c r="M8" s="490"/>
      <c r="N8" s="490"/>
      <c r="O8" s="490"/>
    </row>
    <row r="9" spans="1:15" s="36" customFormat="1" x14ac:dyDescent="0.35">
      <c r="A9" s="41"/>
      <c r="B9" s="37" t="s">
        <v>4</v>
      </c>
      <c r="C9" s="36" t="s">
        <v>93</v>
      </c>
      <c r="E9" s="218">
        <f>F61</f>
        <v>193963</v>
      </c>
      <c r="F9" s="218">
        <f t="shared" ref="F9:H9" si="0">G61</f>
        <v>294061</v>
      </c>
      <c r="G9" s="218">
        <f t="shared" si="0"/>
        <v>294061</v>
      </c>
      <c r="H9" s="218">
        <f t="shared" si="0"/>
        <v>294061</v>
      </c>
    </row>
    <row r="10" spans="1:15" s="36" customFormat="1" x14ac:dyDescent="0.35">
      <c r="A10" s="41"/>
      <c r="B10" s="37" t="s">
        <v>6</v>
      </c>
      <c r="C10" s="36" t="s">
        <v>126</v>
      </c>
      <c r="E10" s="218">
        <f>F67</f>
        <v>926052.10150000011</v>
      </c>
      <c r="F10" s="218">
        <f t="shared" ref="F10" si="1">G67</f>
        <v>2374318.8470915137</v>
      </c>
      <c r="G10" s="218">
        <f>H67</f>
        <v>5509863.7731724121</v>
      </c>
      <c r="H10" s="218">
        <f>I67</f>
        <v>5024937.8864516998</v>
      </c>
    </row>
    <row r="11" spans="1:15" s="516" customFormat="1" x14ac:dyDescent="0.35">
      <c r="A11" s="457"/>
      <c r="B11" s="408"/>
      <c r="E11" s="426"/>
      <c r="F11" s="426"/>
      <c r="G11" s="426"/>
      <c r="H11" s="426"/>
    </row>
    <row r="12" spans="1:15" s="36" customFormat="1" x14ac:dyDescent="0.35">
      <c r="A12" s="41"/>
      <c r="B12" s="37"/>
      <c r="C12" s="305" t="s">
        <v>70</v>
      </c>
      <c r="D12" s="305"/>
      <c r="E12" s="570">
        <f>SUM(E5:E10)</f>
        <v>4722515.1014999999</v>
      </c>
      <c r="F12" s="570">
        <f t="shared" ref="F12:H12" si="2">SUM(F5:F10)</f>
        <v>9528379.8470915146</v>
      </c>
      <c r="G12" s="570">
        <f t="shared" si="2"/>
        <v>12821424.773172412</v>
      </c>
      <c r="H12" s="570">
        <f t="shared" si="2"/>
        <v>12336498.886451699</v>
      </c>
      <c r="I12" s="306"/>
    </row>
    <row r="13" spans="1:15" s="36" customFormat="1" x14ac:dyDescent="0.35">
      <c r="A13" s="41"/>
      <c r="B13" s="37"/>
      <c r="E13" s="306"/>
      <c r="F13" s="306"/>
      <c r="G13" s="306"/>
      <c r="H13" s="306"/>
      <c r="I13" s="306"/>
    </row>
    <row r="14" spans="1:15" s="57" customFormat="1" x14ac:dyDescent="0.35">
      <c r="A14" s="57" t="s">
        <v>89</v>
      </c>
      <c r="B14" s="70" t="s">
        <v>103</v>
      </c>
      <c r="E14" s="79"/>
      <c r="F14" s="219" t="s">
        <v>86</v>
      </c>
      <c r="G14" s="219" t="s">
        <v>75</v>
      </c>
      <c r="H14" s="219" t="s">
        <v>196</v>
      </c>
      <c r="I14" s="79"/>
    </row>
    <row r="15" spans="1:15" s="36" customFormat="1" x14ac:dyDescent="0.35">
      <c r="A15" s="41"/>
      <c r="B15" s="50"/>
      <c r="C15" s="52" t="s">
        <v>246</v>
      </c>
      <c r="D15" s="46"/>
      <c r="E15" s="309"/>
      <c r="F15" s="376">
        <v>90000</v>
      </c>
      <c r="G15" s="220">
        <f>F15</f>
        <v>90000</v>
      </c>
      <c r="H15" s="220">
        <f>F15</f>
        <v>90000</v>
      </c>
      <c r="I15" s="306"/>
    </row>
    <row r="16" spans="1:15" s="36" customFormat="1" x14ac:dyDescent="0.35">
      <c r="A16" s="41"/>
      <c r="B16" s="50"/>
      <c r="C16" s="53" t="s">
        <v>104</v>
      </c>
      <c r="D16" s="46"/>
      <c r="E16" s="309"/>
      <c r="F16" s="376">
        <v>75000</v>
      </c>
      <c r="G16" s="220">
        <f>F16+10000</f>
        <v>85000</v>
      </c>
      <c r="H16" s="220">
        <f>F16+10000</f>
        <v>85000</v>
      </c>
      <c r="I16" s="306"/>
    </row>
    <row r="17" spans="1:9" s="36" customFormat="1" x14ac:dyDescent="0.35">
      <c r="A17" s="41"/>
      <c r="B17" s="50"/>
      <c r="C17" s="53" t="s">
        <v>105</v>
      </c>
      <c r="D17" s="46"/>
      <c r="E17" s="309"/>
      <c r="F17" s="376">
        <v>65000</v>
      </c>
      <c r="G17" s="220">
        <f>F17+65000</f>
        <v>130000</v>
      </c>
      <c r="H17" s="220">
        <f>F17+65000</f>
        <v>130000</v>
      </c>
      <c r="I17" s="306"/>
    </row>
    <row r="18" spans="1:9" s="36" customFormat="1" x14ac:dyDescent="0.35">
      <c r="A18" s="41"/>
      <c r="B18" s="50"/>
      <c r="C18" s="53" t="s">
        <v>106</v>
      </c>
      <c r="D18" s="46"/>
      <c r="E18" s="309"/>
      <c r="F18" s="376">
        <v>105000</v>
      </c>
      <c r="G18" s="220">
        <f>F18+15000</f>
        <v>120000</v>
      </c>
      <c r="H18" s="220">
        <f>F18+15000</f>
        <v>120000</v>
      </c>
      <c r="I18" s="306"/>
    </row>
    <row r="19" spans="1:9" s="69" customFormat="1" x14ac:dyDescent="0.35">
      <c r="A19" s="57"/>
      <c r="B19" s="50"/>
      <c r="C19" s="53"/>
      <c r="D19" s="46"/>
      <c r="E19" s="309"/>
      <c r="F19" s="220"/>
      <c r="G19" s="220"/>
      <c r="H19" s="220"/>
      <c r="I19" s="306"/>
    </row>
    <row r="20" spans="1:9" s="58" customFormat="1" x14ac:dyDescent="0.35">
      <c r="B20" s="50"/>
      <c r="C20" s="101" t="s">
        <v>72</v>
      </c>
      <c r="D20" s="24"/>
      <c r="E20" s="109"/>
      <c r="F20" s="221">
        <f>SUM(F15:F18)</f>
        <v>335000</v>
      </c>
      <c r="G20" s="221">
        <f t="shared" ref="G20:H20" si="3">SUM(G15:G18)</f>
        <v>425000</v>
      </c>
      <c r="H20" s="221">
        <f t="shared" si="3"/>
        <v>425000</v>
      </c>
      <c r="I20" s="76"/>
    </row>
    <row r="21" spans="1:9" s="69" customFormat="1" x14ac:dyDescent="0.35">
      <c r="A21" s="57"/>
      <c r="B21" s="50"/>
      <c r="C21" s="52"/>
      <c r="D21" s="46"/>
      <c r="E21" s="309"/>
      <c r="F21" s="310"/>
      <c r="G21" s="300"/>
      <c r="H21" s="303"/>
      <c r="I21" s="306"/>
    </row>
    <row r="22" spans="1:9" s="57" customFormat="1" x14ac:dyDescent="0.35">
      <c r="A22" s="57" t="s">
        <v>90</v>
      </c>
      <c r="B22" s="195" t="s">
        <v>5</v>
      </c>
      <c r="C22" s="196"/>
      <c r="D22" s="31"/>
      <c r="E22" s="301"/>
      <c r="F22" s="219" t="s">
        <v>86</v>
      </c>
      <c r="G22" s="219" t="s">
        <v>75</v>
      </c>
      <c r="H22" s="219" t="s">
        <v>196</v>
      </c>
      <c r="I22" s="79"/>
    </row>
    <row r="23" spans="1:9" s="457" customFormat="1" x14ac:dyDescent="0.35">
      <c r="B23" s="195"/>
      <c r="C23" s="52" t="s">
        <v>247</v>
      </c>
      <c r="D23" s="31"/>
      <c r="E23" s="491"/>
      <c r="F23" s="376">
        <v>0</v>
      </c>
      <c r="G23" s="376">
        <v>140000</v>
      </c>
      <c r="H23" s="376">
        <v>140000</v>
      </c>
      <c r="I23" s="79"/>
    </row>
    <row r="24" spans="1:9" s="36" customFormat="1" x14ac:dyDescent="0.35">
      <c r="A24" s="41"/>
      <c r="B24" s="50"/>
      <c r="C24" s="53" t="s">
        <v>237</v>
      </c>
      <c r="D24" s="46"/>
      <c r="E24" s="309"/>
      <c r="F24" s="220">
        <v>110000</v>
      </c>
      <c r="G24" s="220">
        <f>F24</f>
        <v>110000</v>
      </c>
      <c r="H24" s="220">
        <f>F24+75000</f>
        <v>185000</v>
      </c>
      <c r="I24" s="306"/>
    </row>
    <row r="25" spans="1:9" s="69" customFormat="1" x14ac:dyDescent="0.35">
      <c r="A25" s="57"/>
      <c r="B25" s="50"/>
      <c r="C25" s="53" t="s">
        <v>238</v>
      </c>
      <c r="D25" s="46"/>
      <c r="E25" s="309"/>
      <c r="F25" s="220">
        <v>552500</v>
      </c>
      <c r="G25" s="376">
        <f>F25+172500</f>
        <v>725000</v>
      </c>
      <c r="H25" s="376">
        <f>F25+65000</f>
        <v>617500</v>
      </c>
      <c r="I25" s="306"/>
    </row>
    <row r="26" spans="1:9" s="36" customFormat="1" x14ac:dyDescent="0.35">
      <c r="A26" s="41"/>
      <c r="B26" s="50"/>
      <c r="C26" s="53" t="s">
        <v>107</v>
      </c>
      <c r="D26" s="46"/>
      <c r="E26" s="309"/>
      <c r="F26" s="220">
        <v>617000</v>
      </c>
      <c r="G26" s="376">
        <f>F26+310000</f>
        <v>927000</v>
      </c>
      <c r="H26" s="376">
        <f>F26+65000</f>
        <v>682000</v>
      </c>
      <c r="I26" s="306"/>
    </row>
    <row r="27" spans="1:9" s="36" customFormat="1" x14ac:dyDescent="0.35">
      <c r="A27" s="41"/>
      <c r="B27" s="50"/>
      <c r="C27" s="495" t="s">
        <v>239</v>
      </c>
      <c r="D27" s="46"/>
      <c r="E27" s="309"/>
      <c r="F27" s="220">
        <v>93500</v>
      </c>
      <c r="G27" s="220">
        <f>F27+65000</f>
        <v>158500</v>
      </c>
      <c r="H27" s="220">
        <f>F27+65000</f>
        <v>158500</v>
      </c>
      <c r="I27" s="306"/>
    </row>
    <row r="28" spans="1:9" s="36" customFormat="1" x14ac:dyDescent="0.35">
      <c r="A28" s="41"/>
      <c r="B28" s="50"/>
      <c r="C28" s="53" t="s">
        <v>240</v>
      </c>
      <c r="D28" s="46"/>
      <c r="E28" s="309"/>
      <c r="F28" s="220">
        <v>25000</v>
      </c>
      <c r="G28" s="220">
        <f>F28+65000</f>
        <v>90000</v>
      </c>
      <c r="H28" s="220">
        <f>F28+65000</f>
        <v>90000</v>
      </c>
      <c r="I28" s="306"/>
    </row>
    <row r="29" spans="1:9" s="36" customFormat="1" x14ac:dyDescent="0.35">
      <c r="A29" s="41"/>
      <c r="B29" s="50"/>
      <c r="C29" s="53" t="s">
        <v>241</v>
      </c>
      <c r="D29" s="46"/>
      <c r="E29" s="309"/>
      <c r="F29" s="220">
        <v>47000</v>
      </c>
      <c r="G29" s="220">
        <f>F29+160000</f>
        <v>207000</v>
      </c>
      <c r="H29" s="220">
        <f>F29+160000</f>
        <v>207000</v>
      </c>
      <c r="I29" s="306"/>
    </row>
    <row r="30" spans="1:9" s="423" customFormat="1" x14ac:dyDescent="0.35">
      <c r="A30" s="424"/>
      <c r="B30" s="400"/>
      <c r="C30" s="402" t="s">
        <v>108</v>
      </c>
      <c r="D30" s="398"/>
      <c r="E30" s="427"/>
      <c r="F30" s="376">
        <v>20000</v>
      </c>
      <c r="G30" s="376">
        <f>F30+40000</f>
        <v>60000</v>
      </c>
      <c r="H30" s="376">
        <f>F30+227500</f>
        <v>247500</v>
      </c>
      <c r="I30" s="428"/>
    </row>
    <row r="31" spans="1:9" s="36" customFormat="1" x14ac:dyDescent="0.35">
      <c r="A31" s="41"/>
      <c r="B31" s="50"/>
      <c r="C31" s="53" t="s">
        <v>109</v>
      </c>
      <c r="D31" s="46"/>
      <c r="E31" s="309"/>
      <c r="F31" s="220">
        <v>105000</v>
      </c>
      <c r="G31" s="220">
        <f>F31+15000</f>
        <v>120000</v>
      </c>
      <c r="H31" s="220">
        <f>F31+22500</f>
        <v>127500</v>
      </c>
      <c r="I31" s="306"/>
    </row>
    <row r="32" spans="1:9" s="36" customFormat="1" x14ac:dyDescent="0.35">
      <c r="A32" s="41"/>
      <c r="B32" s="50"/>
      <c r="C32" s="53" t="s">
        <v>110</v>
      </c>
      <c r="D32" s="46"/>
      <c r="E32" s="309"/>
      <c r="F32" s="220">
        <v>12500</v>
      </c>
      <c r="G32" s="220">
        <f>F32</f>
        <v>12500</v>
      </c>
      <c r="H32" s="220">
        <f>F32+15000</f>
        <v>27500</v>
      </c>
      <c r="I32" s="306"/>
    </row>
    <row r="33" spans="1:9" s="36" customFormat="1" x14ac:dyDescent="0.35">
      <c r="A33" s="41"/>
      <c r="B33" s="50"/>
      <c r="C33" s="53" t="s">
        <v>111</v>
      </c>
      <c r="D33" s="46"/>
      <c r="E33" s="309"/>
      <c r="F33" s="220">
        <v>50000</v>
      </c>
      <c r="G33" s="220">
        <f>F33+250000</f>
        <v>300000</v>
      </c>
      <c r="H33" s="220">
        <f>F33+250000</f>
        <v>300000</v>
      </c>
      <c r="I33" s="306"/>
    </row>
    <row r="34" spans="1:9" s="69" customFormat="1" x14ac:dyDescent="0.35">
      <c r="A34" s="57"/>
      <c r="B34" s="50"/>
      <c r="C34" s="53"/>
      <c r="D34" s="46"/>
      <c r="E34" s="309"/>
      <c r="F34" s="220"/>
      <c r="G34" s="220"/>
      <c r="H34" s="220"/>
      <c r="I34" s="306"/>
    </row>
    <row r="35" spans="1:9" s="58" customFormat="1" x14ac:dyDescent="0.35">
      <c r="B35" s="50"/>
      <c r="C35" s="101" t="s">
        <v>72</v>
      </c>
      <c r="D35" s="24"/>
      <c r="E35" s="109"/>
      <c r="F35" s="221">
        <f>SUM(F23:F33)</f>
        <v>1632500</v>
      </c>
      <c r="G35" s="221">
        <f t="shared" ref="G35" si="4">SUM(G23:G33)</f>
        <v>2850000</v>
      </c>
      <c r="H35" s="221">
        <f>SUM(H23:H33)</f>
        <v>2782500</v>
      </c>
      <c r="I35" s="76"/>
    </row>
    <row r="36" spans="1:9" s="36" customFormat="1" x14ac:dyDescent="0.35">
      <c r="A36" s="41"/>
      <c r="B36" s="50"/>
      <c r="C36" s="52"/>
      <c r="D36" s="46"/>
      <c r="E36" s="309"/>
      <c r="F36" s="306"/>
      <c r="G36" s="306"/>
      <c r="H36" s="306"/>
      <c r="I36" s="306"/>
    </row>
    <row r="37" spans="1:9" s="36" customFormat="1" x14ac:dyDescent="0.35">
      <c r="A37" s="41"/>
      <c r="B37" s="50"/>
      <c r="C37" s="52"/>
      <c r="D37" s="46"/>
      <c r="E37" s="309"/>
      <c r="F37" s="306"/>
      <c r="G37" s="309"/>
      <c r="H37" s="310"/>
      <c r="I37" s="306"/>
    </row>
    <row r="38" spans="1:9" s="57" customFormat="1" x14ac:dyDescent="0.35">
      <c r="A38" s="57" t="s">
        <v>91</v>
      </c>
      <c r="B38" s="195" t="s">
        <v>112</v>
      </c>
      <c r="C38" s="196"/>
      <c r="D38" s="31"/>
      <c r="E38" s="301"/>
      <c r="F38" s="219" t="s">
        <v>86</v>
      </c>
      <c r="G38" s="219" t="s">
        <v>75</v>
      </c>
      <c r="H38" s="219" t="s">
        <v>196</v>
      </c>
      <c r="I38" s="79"/>
    </row>
    <row r="39" spans="1:9" s="36" customFormat="1" x14ac:dyDescent="0.35">
      <c r="A39" s="41"/>
      <c r="B39" s="50"/>
      <c r="C39" s="53" t="s">
        <v>242</v>
      </c>
      <c r="D39" s="46"/>
      <c r="E39" s="309"/>
      <c r="F39" s="279">
        <v>237500</v>
      </c>
      <c r="G39" s="220">
        <f>F39+177500</f>
        <v>415000</v>
      </c>
      <c r="H39" s="220">
        <f>F39+177500</f>
        <v>415000</v>
      </c>
      <c r="I39" s="306"/>
    </row>
    <row r="40" spans="1:9" s="36" customFormat="1" x14ac:dyDescent="0.35">
      <c r="A40" s="41"/>
      <c r="B40" s="50"/>
      <c r="C40" s="53" t="s">
        <v>243</v>
      </c>
      <c r="D40" s="46"/>
      <c r="E40" s="309"/>
      <c r="F40" s="279">
        <v>237500</v>
      </c>
      <c r="G40" s="220">
        <f>F40+177500</f>
        <v>415000</v>
      </c>
      <c r="H40" s="220">
        <f>F40+177500</f>
        <v>415000</v>
      </c>
      <c r="I40" s="306"/>
    </row>
    <row r="41" spans="1:9" s="36" customFormat="1" x14ac:dyDescent="0.35">
      <c r="A41" s="41"/>
      <c r="B41" s="50"/>
      <c r="C41" s="53" t="s">
        <v>239</v>
      </c>
      <c r="D41" s="46"/>
      <c r="E41" s="309"/>
      <c r="F41" s="279">
        <v>112500</v>
      </c>
      <c r="G41" s="220">
        <f>F41+90000</f>
        <v>202500</v>
      </c>
      <c r="H41" s="220">
        <f>F41+90000</f>
        <v>202500</v>
      </c>
      <c r="I41" s="306"/>
    </row>
    <row r="42" spans="1:9" s="36" customFormat="1" x14ac:dyDescent="0.35">
      <c r="A42" s="41"/>
      <c r="B42" s="50"/>
      <c r="C42" s="53" t="s">
        <v>244</v>
      </c>
      <c r="D42" s="46"/>
      <c r="E42" s="309"/>
      <c r="F42" s="279">
        <v>80000</v>
      </c>
      <c r="G42" s="220">
        <f>F42+65000</f>
        <v>145000</v>
      </c>
      <c r="H42" s="220">
        <f>F42+65000</f>
        <v>145000</v>
      </c>
      <c r="I42" s="306"/>
    </row>
    <row r="43" spans="1:9" s="390" customFormat="1" x14ac:dyDescent="0.35">
      <c r="A43" s="395"/>
      <c r="B43" s="400"/>
      <c r="C43" s="402" t="s">
        <v>245</v>
      </c>
      <c r="D43" s="398"/>
      <c r="E43" s="399"/>
      <c r="F43" s="279">
        <v>42500</v>
      </c>
      <c r="G43" s="376">
        <f>F43</f>
        <v>42500</v>
      </c>
      <c r="H43" s="376">
        <f>F43</f>
        <v>42500</v>
      </c>
      <c r="I43" s="394"/>
    </row>
    <row r="44" spans="1:9" s="455" customFormat="1" x14ac:dyDescent="0.35">
      <c r="A44" s="457"/>
      <c r="B44" s="400"/>
      <c r="C44" s="402" t="s">
        <v>248</v>
      </c>
      <c r="D44" s="432"/>
      <c r="E44" s="427"/>
      <c r="F44" s="279">
        <v>0</v>
      </c>
      <c r="G44" s="376">
        <v>350000</v>
      </c>
      <c r="H44" s="376">
        <v>350000</v>
      </c>
      <c r="I44" s="465"/>
    </row>
    <row r="45" spans="1:9" s="455" customFormat="1" x14ac:dyDescent="0.35">
      <c r="A45" s="457"/>
      <c r="B45" s="400"/>
      <c r="C45" s="402" t="s">
        <v>249</v>
      </c>
      <c r="D45" s="432"/>
      <c r="E45" s="427"/>
      <c r="F45" s="279">
        <v>0</v>
      </c>
      <c r="G45" s="376">
        <v>350000</v>
      </c>
      <c r="H45" s="376">
        <v>350000</v>
      </c>
      <c r="I45" s="465"/>
    </row>
    <row r="46" spans="1:9" s="455" customFormat="1" x14ac:dyDescent="0.35">
      <c r="A46" s="457"/>
      <c r="B46" s="400"/>
      <c r="C46" s="402" t="s">
        <v>250</v>
      </c>
      <c r="D46" s="432"/>
      <c r="E46" s="427"/>
      <c r="F46" s="279">
        <v>0</v>
      </c>
      <c r="G46" s="376">
        <v>350000</v>
      </c>
      <c r="H46" s="376">
        <v>350000</v>
      </c>
      <c r="I46" s="465"/>
    </row>
    <row r="47" spans="1:9" s="69" customFormat="1" x14ac:dyDescent="0.35">
      <c r="A47" s="57"/>
      <c r="B47" s="37"/>
      <c r="C47" s="51"/>
      <c r="E47" s="306"/>
      <c r="F47" s="199"/>
      <c r="G47" s="220"/>
      <c r="H47" s="220"/>
      <c r="I47" s="306"/>
    </row>
    <row r="48" spans="1:9" s="98" customFormat="1" x14ac:dyDescent="0.35">
      <c r="B48" s="99"/>
      <c r="C48" s="201" t="s">
        <v>72</v>
      </c>
      <c r="D48" s="213"/>
      <c r="E48" s="109"/>
      <c r="F48" s="221">
        <f>SUM(F39:F46)</f>
        <v>710000</v>
      </c>
      <c r="G48" s="221">
        <f t="shared" ref="G48:H48" si="5">SUM(G39:G46)</f>
        <v>2270000</v>
      </c>
      <c r="H48" s="221">
        <f t="shared" si="5"/>
        <v>2270000</v>
      </c>
      <c r="I48" s="302"/>
    </row>
    <row r="49" spans="1:13" s="69" customFormat="1" x14ac:dyDescent="0.35">
      <c r="A49" s="57"/>
      <c r="B49" s="37"/>
      <c r="E49" s="306"/>
      <c r="F49" s="306"/>
      <c r="G49" s="310"/>
      <c r="H49" s="310"/>
      <c r="I49" s="306"/>
    </row>
    <row r="50" spans="1:13" s="57" customFormat="1" x14ac:dyDescent="0.35">
      <c r="A50" s="57" t="s">
        <v>92</v>
      </c>
      <c r="B50" s="195" t="s">
        <v>115</v>
      </c>
      <c r="C50" s="31"/>
      <c r="D50" s="31"/>
      <c r="E50" s="301"/>
      <c r="F50" s="219" t="s">
        <v>86</v>
      </c>
      <c r="G50" s="219" t="s">
        <v>75</v>
      </c>
      <c r="H50" s="219" t="s">
        <v>196</v>
      </c>
      <c r="I50" s="79"/>
    </row>
    <row r="51" spans="1:13" s="36" customFormat="1" x14ac:dyDescent="0.35">
      <c r="A51" s="41"/>
      <c r="B51" s="50"/>
      <c r="C51" s="54" t="s">
        <v>113</v>
      </c>
      <c r="D51" s="46"/>
      <c r="E51" s="309"/>
      <c r="F51" s="220">
        <v>800000</v>
      </c>
      <c r="G51" s="220">
        <f>F51+300000</f>
        <v>1100000</v>
      </c>
      <c r="H51" s="220">
        <f>F51+525000</f>
        <v>1325000</v>
      </c>
      <c r="I51" s="202"/>
    </row>
    <row r="52" spans="1:13" s="36" customFormat="1" x14ac:dyDescent="0.35">
      <c r="A52" s="41"/>
      <c r="B52" s="50"/>
      <c r="C52" s="93" t="s">
        <v>114</v>
      </c>
      <c r="D52" s="46"/>
      <c r="E52" s="309"/>
      <c r="F52" s="220">
        <v>125000</v>
      </c>
      <c r="G52" s="220">
        <f>F52+90000</f>
        <v>215000</v>
      </c>
      <c r="H52" s="220">
        <f>F52+90000</f>
        <v>215000</v>
      </c>
      <c r="I52" s="202"/>
    </row>
    <row r="53" spans="1:13" s="69" customFormat="1" x14ac:dyDescent="0.35">
      <c r="A53" s="57"/>
      <c r="B53" s="50"/>
      <c r="C53" s="93"/>
      <c r="D53" s="46"/>
      <c r="E53" s="309"/>
      <c r="F53" s="220"/>
      <c r="G53" s="220"/>
      <c r="H53" s="220"/>
      <c r="I53" s="202"/>
    </row>
    <row r="54" spans="1:13" s="58" customFormat="1" x14ac:dyDescent="0.35">
      <c r="B54" s="50"/>
      <c r="C54" s="100" t="s">
        <v>72</v>
      </c>
      <c r="D54" s="24"/>
      <c r="E54" s="109"/>
      <c r="F54" s="221">
        <f>SUM(F51:F52)</f>
        <v>925000</v>
      </c>
      <c r="G54" s="221">
        <f t="shared" ref="G54:H54" si="6">SUM(G51:G52)</f>
        <v>1315000</v>
      </c>
      <c r="H54" s="221">
        <f t="shared" si="6"/>
        <v>1540000</v>
      </c>
      <c r="I54" s="202"/>
    </row>
    <row r="55" spans="1:13" s="49" customFormat="1" x14ac:dyDescent="0.35">
      <c r="A55" s="41"/>
      <c r="B55" s="50"/>
      <c r="C55" s="54"/>
      <c r="D55" s="46"/>
      <c r="E55" s="309"/>
      <c r="F55" s="285"/>
      <c r="G55" s="285"/>
      <c r="H55" s="306"/>
      <c r="I55" s="306"/>
    </row>
    <row r="56" spans="1:13" x14ac:dyDescent="0.35">
      <c r="E56" s="306"/>
      <c r="F56" s="306"/>
      <c r="G56" s="306"/>
      <c r="H56" s="306"/>
      <c r="I56" s="306"/>
    </row>
    <row r="57" spans="1:13" x14ac:dyDescent="0.35">
      <c r="A57" s="41" t="s">
        <v>4</v>
      </c>
      <c r="B57" s="12" t="s">
        <v>93</v>
      </c>
      <c r="F57" s="61" t="s">
        <v>73</v>
      </c>
      <c r="G57" s="61" t="s">
        <v>95</v>
      </c>
      <c r="H57" s="61" t="s">
        <v>97</v>
      </c>
      <c r="I57" s="61" t="s">
        <v>96</v>
      </c>
    </row>
    <row r="58" spans="1:13" x14ac:dyDescent="0.35">
      <c r="C58" t="s">
        <v>232</v>
      </c>
      <c r="F58" s="218">
        <v>193963</v>
      </c>
      <c r="G58" s="218">
        <v>294061</v>
      </c>
      <c r="H58" s="218">
        <v>294061</v>
      </c>
      <c r="I58" s="218">
        <v>294061</v>
      </c>
    </row>
    <row r="59" spans="1:13" x14ac:dyDescent="0.35">
      <c r="F59" s="218"/>
      <c r="G59" s="218"/>
      <c r="H59" s="218"/>
      <c r="I59" s="218"/>
    </row>
    <row r="60" spans="1:13" s="69" customFormat="1" x14ac:dyDescent="0.35">
      <c r="F60" s="218"/>
      <c r="G60" s="218"/>
      <c r="H60" s="218"/>
      <c r="I60" s="218"/>
    </row>
    <row r="61" spans="1:13" x14ac:dyDescent="0.35">
      <c r="C61" s="19" t="s">
        <v>72</v>
      </c>
      <c r="D61" s="19"/>
      <c r="E61" s="19"/>
      <c r="F61" s="111">
        <f>SUM(F58:F59)</f>
        <v>193963</v>
      </c>
      <c r="G61" s="111">
        <f t="shared" ref="G61:I61" si="7">SUM(G58:G59)</f>
        <v>294061</v>
      </c>
      <c r="H61" s="111">
        <f t="shared" si="7"/>
        <v>294061</v>
      </c>
      <c r="I61" s="111">
        <f t="shared" si="7"/>
        <v>294061</v>
      </c>
    </row>
    <row r="63" spans="1:13" x14ac:dyDescent="0.35">
      <c r="A63" s="57" t="s">
        <v>6</v>
      </c>
      <c r="B63" s="57" t="s">
        <v>94</v>
      </c>
      <c r="F63" s="61" t="s">
        <v>73</v>
      </c>
      <c r="G63" s="61" t="s">
        <v>95</v>
      </c>
      <c r="H63" s="61" t="s">
        <v>97</v>
      </c>
      <c r="I63" s="61" t="s">
        <v>96</v>
      </c>
    </row>
    <row r="64" spans="1:13" x14ac:dyDescent="0.35">
      <c r="C64" t="s">
        <v>428</v>
      </c>
      <c r="F64" s="62">
        <f>'CBS (Total)'!J36+'CBS (Total)'!J35+'CBS (Total)'!J27+'CBS (Total)'!J24+'CBS (Total)'!J18+'CBS (Total)'!J12+'CBS (Total)'!J5+'CBS (Total)'!J10</f>
        <v>18521042.030000001</v>
      </c>
      <c r="G64" s="434">
        <f>'CBS (Total)'!L36+'CBS (Total)'!L35+'CBS (Total)'!L27+'CBS (Total)'!L24+'CBS (Total)'!L18+'CBS (Total)'!L12+'CBS (Total)'!L5+'CBS (Total)'!L10</f>
        <v>79143961.569717124</v>
      </c>
      <c r="H64" s="434">
        <f>'CBS (Total)'!N36+'CBS (Total)'!N35+'CBS (Total)'!N27+'CBS (Total)'!N24+'CBS (Total)'!N18+'CBS (Total)'!N12+'CBS (Total)'!N5+'CBS (Total)'!N10</f>
        <v>275493188.6586206</v>
      </c>
      <c r="I64" s="434">
        <f>'CBS (Total)'!P36+'CBS (Total)'!P35+'CBS (Total)'!P27+'CBS (Total)'!P24+'CBS (Total)'!P18+'CBS (Total)'!P12+'CBS (Total)'!P5+'CBS (Total)'!P10</f>
        <v>502493788.64516997</v>
      </c>
      <c r="K64" s="434"/>
      <c r="M64" s="62"/>
    </row>
    <row r="65" spans="1:9" x14ac:dyDescent="0.35">
      <c r="C65" t="s">
        <v>130</v>
      </c>
      <c r="F65" s="42">
        <v>0.05</v>
      </c>
      <c r="G65" s="42">
        <v>0.03</v>
      </c>
      <c r="H65" s="42">
        <v>0.02</v>
      </c>
      <c r="I65" s="42">
        <v>0.01</v>
      </c>
    </row>
    <row r="66" spans="1:9" s="69" customFormat="1" x14ac:dyDescent="0.35">
      <c r="F66" s="42"/>
      <c r="G66" s="42"/>
      <c r="H66" s="42"/>
      <c r="I66" s="42"/>
    </row>
    <row r="67" spans="1:9" x14ac:dyDescent="0.35">
      <c r="C67" s="19" t="s">
        <v>68</v>
      </c>
      <c r="D67" s="19"/>
      <c r="E67" s="19"/>
      <c r="F67" s="203">
        <f>F65*F64</f>
        <v>926052.10150000011</v>
      </c>
      <c r="G67" s="203">
        <f t="shared" ref="G67:I67" si="8">G65*G64</f>
        <v>2374318.8470915137</v>
      </c>
      <c r="H67" s="203">
        <f t="shared" si="8"/>
        <v>5509863.7731724121</v>
      </c>
      <c r="I67" s="203">
        <f t="shared" si="8"/>
        <v>5024937.8864516998</v>
      </c>
    </row>
    <row r="71" spans="1:9" s="277" customFormat="1" x14ac:dyDescent="0.35">
      <c r="A71" s="205" t="s">
        <v>131</v>
      </c>
    </row>
    <row r="72" spans="1:9" s="695" customFormat="1" x14ac:dyDescent="0.35">
      <c r="A72" s="657"/>
      <c r="B72" s="693" t="s">
        <v>458</v>
      </c>
    </row>
    <row r="73" spans="1:9" s="277" customFormat="1" x14ac:dyDescent="0.35">
      <c r="A73" s="656" t="s">
        <v>2</v>
      </c>
      <c r="B73" s="656" t="s">
        <v>430</v>
      </c>
    </row>
    <row r="74" spans="1:9" s="277" customFormat="1" x14ac:dyDescent="0.35">
      <c r="A74" s="656" t="s">
        <v>4</v>
      </c>
      <c r="B74" s="656" t="s">
        <v>431</v>
      </c>
    </row>
    <row r="75" spans="1:9" s="304" customFormat="1" x14ac:dyDescent="0.35">
      <c r="A75" s="656"/>
      <c r="B75" s="656" t="s">
        <v>432</v>
      </c>
    </row>
    <row r="76" spans="1:9" s="304" customFormat="1" x14ac:dyDescent="0.35">
      <c r="A76" s="656"/>
      <c r="B76" s="656" t="s">
        <v>433</v>
      </c>
    </row>
    <row r="77" spans="1:9" s="304" customFormat="1" x14ac:dyDescent="0.35">
      <c r="A77" s="656"/>
      <c r="B77" s="656" t="s">
        <v>434</v>
      </c>
    </row>
    <row r="78" spans="1:9" s="277" customFormat="1" x14ac:dyDescent="0.35">
      <c r="A78" s="656" t="s">
        <v>6</v>
      </c>
      <c r="B78" s="656" t="s">
        <v>435</v>
      </c>
    </row>
    <row r="79" spans="1:9" s="277" customFormat="1" x14ac:dyDescent="0.35"/>
    <row r="80" spans="1:9" s="277" customFormat="1" x14ac:dyDescent="0.35">
      <c r="A80" s="205" t="s">
        <v>215</v>
      </c>
    </row>
    <row r="81" spans="1:2" s="277" customFormat="1" x14ac:dyDescent="0.35">
      <c r="A81" s="654" t="s">
        <v>89</v>
      </c>
      <c r="B81" s="655" t="s">
        <v>216</v>
      </c>
    </row>
    <row r="82" spans="1:2" s="277" customFormat="1" x14ac:dyDescent="0.35">
      <c r="A82" s="654" t="s">
        <v>90</v>
      </c>
      <c r="B82" s="655" t="s">
        <v>216</v>
      </c>
    </row>
    <row r="83" spans="1:2" s="277" customFormat="1" x14ac:dyDescent="0.35">
      <c r="A83" s="654" t="s">
        <v>91</v>
      </c>
      <c r="B83" s="655" t="s">
        <v>216</v>
      </c>
    </row>
    <row r="84" spans="1:2" s="277" customFormat="1" x14ac:dyDescent="0.35">
      <c r="A84" s="654" t="s">
        <v>92</v>
      </c>
      <c r="B84" s="655" t="s">
        <v>216</v>
      </c>
    </row>
    <row r="85" spans="1:2" s="277" customFormat="1" x14ac:dyDescent="0.35">
      <c r="A85" s="654" t="s">
        <v>4</v>
      </c>
      <c r="B85" s="655" t="s">
        <v>453</v>
      </c>
    </row>
    <row r="86" spans="1:2" s="277" customFormat="1" x14ac:dyDescent="0.35">
      <c r="A86" s="654" t="s">
        <v>6</v>
      </c>
      <c r="B86" s="655" t="s">
        <v>429</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8"/>
  <sheetViews>
    <sheetView zoomScale="70" zoomScaleNormal="70" workbookViewId="0">
      <selection activeCell="F6" sqref="F6"/>
    </sheetView>
  </sheetViews>
  <sheetFormatPr defaultColWidth="9.08984375" defaultRowHeight="14.5" x14ac:dyDescent="0.35"/>
  <cols>
    <col min="1" max="1" width="3.90625" style="6" customWidth="1"/>
    <col min="2" max="2" width="6.36328125" style="6" customWidth="1"/>
    <col min="3" max="3" width="53" style="6" customWidth="1"/>
    <col min="4" max="4" width="13.54296875" style="6" customWidth="1"/>
    <col min="5" max="5" width="15.90625" style="6" customWidth="1"/>
    <col min="6" max="6" width="19.36328125" style="6" customWidth="1"/>
    <col min="7" max="7" width="18.08984375" style="6" customWidth="1"/>
    <col min="8" max="8" width="18" style="6" customWidth="1"/>
    <col min="9" max="16384" width="9.08984375" style="6"/>
  </cols>
  <sheetData>
    <row r="1" spans="1:8" s="11" customFormat="1" x14ac:dyDescent="0.35">
      <c r="A1" s="457" t="s">
        <v>352</v>
      </c>
    </row>
    <row r="2" spans="1:8" s="11" customFormat="1" x14ac:dyDescent="0.35"/>
    <row r="3" spans="1:8" s="11" customFormat="1" x14ac:dyDescent="0.35">
      <c r="A3" s="12" t="s">
        <v>98</v>
      </c>
      <c r="D3" s="11" t="s">
        <v>59</v>
      </c>
      <c r="E3" s="11">
        <v>1</v>
      </c>
      <c r="F3" s="11">
        <v>10</v>
      </c>
      <c r="G3" s="11">
        <v>50</v>
      </c>
      <c r="H3" s="11">
        <v>100</v>
      </c>
    </row>
    <row r="4" spans="1:8" s="11" customFormat="1" x14ac:dyDescent="0.35">
      <c r="A4" s="12"/>
      <c r="B4" s="11" t="s">
        <v>9</v>
      </c>
      <c r="C4" s="11" t="s">
        <v>12</v>
      </c>
      <c r="E4" s="40">
        <f>D39</f>
        <v>900000</v>
      </c>
      <c r="F4" s="494">
        <f t="shared" ref="F4:H4" si="0">E39</f>
        <v>900000</v>
      </c>
      <c r="G4" s="494">
        <f t="shared" si="0"/>
        <v>3360000</v>
      </c>
      <c r="H4" s="494">
        <f t="shared" si="0"/>
        <v>8700000</v>
      </c>
    </row>
    <row r="5" spans="1:8" s="11" customFormat="1" x14ac:dyDescent="0.35">
      <c r="A5" s="12"/>
      <c r="B5" s="11" t="s">
        <v>11</v>
      </c>
      <c r="C5" s="11" t="s">
        <v>132</v>
      </c>
      <c r="E5" s="40">
        <f>D47</f>
        <v>90000</v>
      </c>
      <c r="F5" s="429">
        <f t="shared" ref="F5:H5" si="1">E47</f>
        <v>90000</v>
      </c>
      <c r="G5" s="429">
        <f t="shared" si="1"/>
        <v>336000</v>
      </c>
      <c r="H5" s="429">
        <f t="shared" si="1"/>
        <v>870000</v>
      </c>
    </row>
    <row r="6" spans="1:8" s="64" customFormat="1" x14ac:dyDescent="0.35">
      <c r="A6" s="57"/>
      <c r="B6" s="64" t="s">
        <v>13</v>
      </c>
      <c r="C6" s="64" t="s">
        <v>14</v>
      </c>
      <c r="E6" s="307">
        <f>D54</f>
        <v>0</v>
      </c>
      <c r="F6" s="429">
        <f t="shared" ref="F6:H6" si="2">E54</f>
        <v>0</v>
      </c>
      <c r="G6" s="429">
        <f t="shared" si="2"/>
        <v>0</v>
      </c>
      <c r="H6" s="429">
        <f t="shared" si="2"/>
        <v>0</v>
      </c>
    </row>
    <row r="7" spans="1:8" s="64" customFormat="1" x14ac:dyDescent="0.35">
      <c r="A7" s="57"/>
      <c r="B7" s="64" t="s">
        <v>15</v>
      </c>
      <c r="C7" s="64" t="s">
        <v>56</v>
      </c>
      <c r="E7" s="40">
        <f>D65</f>
        <v>0</v>
      </c>
      <c r="F7" s="429">
        <f t="shared" ref="F7:H7" si="3">E65</f>
        <v>3870000</v>
      </c>
      <c r="G7" s="429">
        <f t="shared" si="3"/>
        <v>3870000</v>
      </c>
      <c r="H7" s="429">
        <f t="shared" si="3"/>
        <v>7740000</v>
      </c>
    </row>
    <row r="8" spans="1:8" s="64" customFormat="1" x14ac:dyDescent="0.35">
      <c r="A8" s="57"/>
      <c r="B8" s="64" t="s">
        <v>16</v>
      </c>
      <c r="C8" s="64" t="s">
        <v>17</v>
      </c>
      <c r="E8" s="62"/>
      <c r="F8" s="62"/>
      <c r="G8" s="62"/>
      <c r="H8" s="62"/>
    </row>
    <row r="9" spans="1:8" s="64" customFormat="1" x14ac:dyDescent="0.35">
      <c r="A9" s="57"/>
      <c r="D9" s="40"/>
      <c r="E9" s="40"/>
      <c r="F9" s="40"/>
      <c r="G9" s="40"/>
    </row>
    <row r="10" spans="1:8" s="64" customFormat="1" x14ac:dyDescent="0.35">
      <c r="A10" s="57"/>
      <c r="B10" s="210"/>
      <c r="C10" s="210" t="s">
        <v>87</v>
      </c>
      <c r="D10" s="211"/>
      <c r="E10" s="211">
        <f>SUM(E4:E8)</f>
        <v>990000</v>
      </c>
      <c r="F10" s="308">
        <f t="shared" ref="F10:H10" si="4">SUM(F4:F8)</f>
        <v>4860000</v>
      </c>
      <c r="G10" s="308">
        <f t="shared" si="4"/>
        <v>7566000</v>
      </c>
      <c r="H10" s="308">
        <f t="shared" si="4"/>
        <v>17310000</v>
      </c>
    </row>
    <row r="11" spans="1:8" s="64" customFormat="1" x14ac:dyDescent="0.35">
      <c r="A11" s="57"/>
      <c r="D11" s="40"/>
      <c r="E11" s="40"/>
      <c r="F11" s="40"/>
      <c r="G11" s="40"/>
    </row>
    <row r="12" spans="1:8" s="11" customFormat="1" x14ac:dyDescent="0.35"/>
    <row r="13" spans="1:8" s="11" customFormat="1" x14ac:dyDescent="0.35"/>
    <row r="14" spans="1:8" x14ac:dyDescent="0.35">
      <c r="A14" s="9"/>
      <c r="B14" s="9"/>
    </row>
    <row r="15" spans="1:8" x14ac:dyDescent="0.35">
      <c r="A15" s="57" t="s">
        <v>251</v>
      </c>
      <c r="E15" s="433" t="s">
        <v>271</v>
      </c>
      <c r="F15" s="6" t="s">
        <v>59</v>
      </c>
    </row>
    <row r="16" spans="1:8" s="423" customFormat="1" x14ac:dyDescent="0.35">
      <c r="A16" s="424"/>
      <c r="D16" s="561">
        <v>1</v>
      </c>
      <c r="E16" s="561">
        <v>10</v>
      </c>
      <c r="F16" s="561">
        <v>50</v>
      </c>
      <c r="G16" s="561">
        <v>100</v>
      </c>
    </row>
    <row r="17" spans="1:7" s="516" customFormat="1" x14ac:dyDescent="0.35">
      <c r="A17" s="457"/>
      <c r="B17" s="516" t="s">
        <v>269</v>
      </c>
      <c r="D17" s="82"/>
      <c r="E17" s="102"/>
      <c r="F17" s="433"/>
      <c r="G17" s="433"/>
    </row>
    <row r="18" spans="1:7" s="516" customFormat="1" x14ac:dyDescent="0.35">
      <c r="A18" s="457"/>
      <c r="C18" s="516" t="s">
        <v>270</v>
      </c>
      <c r="D18" s="561">
        <v>350</v>
      </c>
      <c r="E18" s="561">
        <v>350</v>
      </c>
      <c r="F18" s="561">
        <v>350</v>
      </c>
      <c r="G18" s="561">
        <v>350</v>
      </c>
    </row>
    <row r="19" spans="1:7" s="516" customFormat="1" x14ac:dyDescent="0.35">
      <c r="A19" s="457"/>
      <c r="C19" s="516" t="s">
        <v>272</v>
      </c>
      <c r="D19" s="562">
        <f>D18*D16/1000</f>
        <v>0.35</v>
      </c>
      <c r="E19" s="562">
        <f t="shared" ref="E19:G19" si="5">E18*E16/1000</f>
        <v>3.5</v>
      </c>
      <c r="F19" s="562">
        <f t="shared" si="5"/>
        <v>17.5</v>
      </c>
      <c r="G19" s="562">
        <f t="shared" si="5"/>
        <v>35</v>
      </c>
    </row>
    <row r="20" spans="1:7" s="516" customFormat="1" x14ac:dyDescent="0.35">
      <c r="A20" s="457"/>
      <c r="C20" s="516" t="s">
        <v>273</v>
      </c>
      <c r="D20" s="562">
        <f>D19*1.2</f>
        <v>0.42</v>
      </c>
      <c r="E20" s="562">
        <f t="shared" ref="E20:G20" si="6">E19*1.2</f>
        <v>4.2</v>
      </c>
      <c r="F20" s="562">
        <f t="shared" si="6"/>
        <v>21</v>
      </c>
      <c r="G20" s="562">
        <f t="shared" si="6"/>
        <v>42</v>
      </c>
    </row>
    <row r="21" spans="1:7" s="516" customFormat="1" x14ac:dyDescent="0.35">
      <c r="A21" s="457"/>
      <c r="D21" s="82"/>
      <c r="E21" s="102"/>
      <c r="F21" s="433"/>
      <c r="G21" s="433"/>
    </row>
    <row r="22" spans="1:7" s="516" customFormat="1" x14ac:dyDescent="0.35">
      <c r="A22" s="457"/>
      <c r="B22" s="516" t="s">
        <v>267</v>
      </c>
      <c r="F22" s="433"/>
      <c r="G22" s="433"/>
    </row>
    <row r="23" spans="1:7" s="516" customFormat="1" x14ac:dyDescent="0.35">
      <c r="A23" s="457"/>
      <c r="C23" s="516" t="s">
        <v>268</v>
      </c>
      <c r="D23" s="466">
        <v>5000</v>
      </c>
      <c r="E23" s="516">
        <v>5000</v>
      </c>
      <c r="F23" s="433">
        <v>5000</v>
      </c>
      <c r="G23" s="433">
        <v>5000</v>
      </c>
    </row>
    <row r="24" spans="1:7" s="516" customFormat="1" x14ac:dyDescent="0.35">
      <c r="A24" s="457"/>
      <c r="C24" s="516" t="s">
        <v>275</v>
      </c>
      <c r="D24" s="466">
        <v>0</v>
      </c>
      <c r="E24" s="516">
        <v>0</v>
      </c>
      <c r="F24" s="516">
        <f>(F16-20)/2*600</f>
        <v>9000</v>
      </c>
      <c r="G24" s="516">
        <f>(G16-20)/2*600</f>
        <v>24000</v>
      </c>
    </row>
    <row r="25" spans="1:7" s="516" customFormat="1" x14ac:dyDescent="0.35">
      <c r="A25" s="457"/>
      <c r="C25" s="516" t="s">
        <v>274</v>
      </c>
      <c r="D25" s="466">
        <f>(D23+D24)*1.2</f>
        <v>6000</v>
      </c>
      <c r="E25" s="466">
        <f t="shared" ref="E25:G25" si="7">(E23+E24)*1.2</f>
        <v>6000</v>
      </c>
      <c r="F25" s="466">
        <f t="shared" si="7"/>
        <v>16800</v>
      </c>
      <c r="G25" s="466">
        <f t="shared" si="7"/>
        <v>34800</v>
      </c>
    </row>
    <row r="26" spans="1:7" s="516" customFormat="1" x14ac:dyDescent="0.35">
      <c r="A26" s="457"/>
      <c r="D26" s="466"/>
      <c r="F26" s="433"/>
      <c r="G26" s="433"/>
    </row>
    <row r="27" spans="1:7" s="516" customFormat="1" x14ac:dyDescent="0.35">
      <c r="A27" s="457"/>
      <c r="B27" s="516" t="s">
        <v>280</v>
      </c>
      <c r="F27" s="433"/>
      <c r="G27" s="433"/>
    </row>
    <row r="28" spans="1:7" s="516" customFormat="1" x14ac:dyDescent="0.35">
      <c r="A28" s="457"/>
      <c r="C28" s="516" t="s">
        <v>276</v>
      </c>
      <c r="D28" s="466">
        <f>600+50*2*2</f>
        <v>800</v>
      </c>
      <c r="E28" s="466">
        <f t="shared" ref="E28:G28" si="8">600+50*2*2</f>
        <v>800</v>
      </c>
      <c r="F28" s="466">
        <f t="shared" si="8"/>
        <v>800</v>
      </c>
      <c r="G28" s="466">
        <f t="shared" si="8"/>
        <v>800</v>
      </c>
    </row>
    <row r="29" spans="1:7" s="516" customFormat="1" x14ac:dyDescent="0.35">
      <c r="A29" s="457"/>
      <c r="C29" s="516" t="s">
        <v>277</v>
      </c>
      <c r="D29" s="516">
        <f>D28*D16</f>
        <v>800</v>
      </c>
      <c r="E29" s="516">
        <f>E28*E16</f>
        <v>8000</v>
      </c>
      <c r="F29" s="516">
        <f t="shared" ref="F29:G29" si="9">F28*F16</f>
        <v>40000</v>
      </c>
      <c r="G29" s="516">
        <f t="shared" si="9"/>
        <v>80000</v>
      </c>
    </row>
    <row r="30" spans="1:7" s="516" customFormat="1" x14ac:dyDescent="0.35">
      <c r="A30" s="457"/>
      <c r="D30" s="466"/>
      <c r="F30" s="433"/>
      <c r="G30" s="433"/>
    </row>
    <row r="31" spans="1:7" s="516" customFormat="1" x14ac:dyDescent="0.35">
      <c r="A31" s="457"/>
      <c r="B31" s="516" t="s">
        <v>278</v>
      </c>
      <c r="F31" s="433"/>
      <c r="G31" s="433"/>
    </row>
    <row r="32" spans="1:7" s="516" customFormat="1" x14ac:dyDescent="0.35">
      <c r="A32" s="457"/>
      <c r="C32" s="516" t="s">
        <v>281</v>
      </c>
      <c r="D32" s="426">
        <v>150</v>
      </c>
      <c r="E32" s="426">
        <v>150</v>
      </c>
      <c r="F32" s="564">
        <v>200</v>
      </c>
      <c r="G32" s="564">
        <v>250</v>
      </c>
    </row>
    <row r="33" spans="1:7" s="516" customFormat="1" x14ac:dyDescent="0.35">
      <c r="A33" s="457"/>
      <c r="C33" s="516" t="s">
        <v>427</v>
      </c>
      <c r="D33" s="564">
        <v>0</v>
      </c>
      <c r="E33" s="564">
        <v>0</v>
      </c>
      <c r="F33" s="564">
        <v>0</v>
      </c>
      <c r="G33" s="564">
        <v>0</v>
      </c>
    </row>
    <row r="34" spans="1:7" s="516" customFormat="1" x14ac:dyDescent="0.35">
      <c r="A34" s="457"/>
      <c r="C34" s="431"/>
      <c r="D34" s="426"/>
      <c r="E34" s="426"/>
      <c r="F34" s="564"/>
      <c r="G34" s="564"/>
    </row>
    <row r="35" spans="1:7" s="516" customFormat="1" x14ac:dyDescent="0.35">
      <c r="A35" s="457"/>
      <c r="B35" s="516" t="s">
        <v>69</v>
      </c>
      <c r="D35" s="426"/>
      <c r="E35" s="426"/>
      <c r="F35" s="564"/>
      <c r="G35" s="564"/>
    </row>
    <row r="36" spans="1:7" s="516" customFormat="1" x14ac:dyDescent="0.35">
      <c r="A36" s="457"/>
      <c r="C36" s="516" t="s">
        <v>279</v>
      </c>
      <c r="D36" s="426">
        <f>D32*D25</f>
        <v>900000</v>
      </c>
      <c r="E36" s="426">
        <f t="shared" ref="E36:G36" si="10">E32*E25</f>
        <v>900000</v>
      </c>
      <c r="F36" s="426">
        <f t="shared" si="10"/>
        <v>3360000</v>
      </c>
      <c r="G36" s="426">
        <f t="shared" si="10"/>
        <v>8700000</v>
      </c>
    </row>
    <row r="37" spans="1:7" s="516" customFormat="1" x14ac:dyDescent="0.35">
      <c r="A37" s="457"/>
      <c r="C37" s="516" t="s">
        <v>282</v>
      </c>
      <c r="D37" s="426">
        <f>D33*D29</f>
        <v>0</v>
      </c>
      <c r="E37" s="426">
        <f t="shared" ref="E37:G37" si="11">E33*E29</f>
        <v>0</v>
      </c>
      <c r="F37" s="426">
        <f t="shared" si="11"/>
        <v>0</v>
      </c>
      <c r="G37" s="426">
        <f t="shared" si="11"/>
        <v>0</v>
      </c>
    </row>
    <row r="38" spans="1:7" s="516" customFormat="1" x14ac:dyDescent="0.35">
      <c r="A38" s="457"/>
      <c r="C38" s="519"/>
      <c r="D38" s="376"/>
      <c r="E38" s="426"/>
      <c r="F38" s="564"/>
      <c r="G38" s="564"/>
    </row>
    <row r="39" spans="1:7" s="516" customFormat="1" x14ac:dyDescent="0.35">
      <c r="A39" s="457"/>
      <c r="C39" s="77" t="s">
        <v>70</v>
      </c>
      <c r="D39" s="221">
        <f>D37+D36</f>
        <v>900000</v>
      </c>
      <c r="E39" s="221">
        <f t="shared" ref="E39:G39" si="12">E37+E36</f>
        <v>900000</v>
      </c>
      <c r="F39" s="221">
        <f t="shared" si="12"/>
        <v>3360000</v>
      </c>
      <c r="G39" s="221">
        <f t="shared" si="12"/>
        <v>8700000</v>
      </c>
    </row>
    <row r="40" spans="1:7" s="516" customFormat="1" x14ac:dyDescent="0.35">
      <c r="A40" s="457"/>
      <c r="C40" s="519"/>
      <c r="D40" s="519"/>
      <c r="F40" s="433"/>
      <c r="G40" s="433"/>
    </row>
    <row r="42" spans="1:7" x14ac:dyDescent="0.35">
      <c r="A42" s="57" t="s">
        <v>133</v>
      </c>
      <c r="B42" s="57"/>
      <c r="C42" s="57"/>
    </row>
    <row r="43" spans="1:7" s="423" customFormat="1" x14ac:dyDescent="0.35">
      <c r="A43" s="424"/>
      <c r="B43" s="424"/>
      <c r="C43" s="424"/>
      <c r="D43" s="82" t="s">
        <v>73</v>
      </c>
      <c r="E43" s="102" t="s">
        <v>95</v>
      </c>
      <c r="F43" s="61" t="s">
        <v>97</v>
      </c>
      <c r="G43" s="61" t="s">
        <v>96</v>
      </c>
    </row>
    <row r="44" spans="1:7" s="69" customFormat="1" x14ac:dyDescent="0.35">
      <c r="D44" s="214"/>
      <c r="E44" s="214"/>
      <c r="F44" s="214"/>
      <c r="G44" s="214"/>
    </row>
    <row r="45" spans="1:7" s="69" customFormat="1" x14ac:dyDescent="0.35">
      <c r="C45" s="69" t="s">
        <v>283</v>
      </c>
      <c r="D45" s="199">
        <f>10%*D39</f>
        <v>90000</v>
      </c>
      <c r="E45" s="199">
        <f t="shared" ref="E45:G45" si="13">10%*E39</f>
        <v>90000</v>
      </c>
      <c r="F45" s="199">
        <f t="shared" si="13"/>
        <v>336000</v>
      </c>
      <c r="G45" s="199">
        <f t="shared" si="13"/>
        <v>870000</v>
      </c>
    </row>
    <row r="46" spans="1:7" s="69" customFormat="1" x14ac:dyDescent="0.35">
      <c r="D46" s="40"/>
      <c r="E46" s="43"/>
    </row>
    <row r="47" spans="1:7" s="69" customFormat="1" x14ac:dyDescent="0.35">
      <c r="C47" s="19" t="s">
        <v>68</v>
      </c>
      <c r="D47" s="20">
        <f>SUM(D45:D46)</f>
        <v>90000</v>
      </c>
      <c r="E47" s="308">
        <f t="shared" ref="E47:G47" si="14">SUM(E45:E46)</f>
        <v>90000</v>
      </c>
      <c r="F47" s="308">
        <f t="shared" si="14"/>
        <v>336000</v>
      </c>
      <c r="G47" s="308">
        <f t="shared" si="14"/>
        <v>870000</v>
      </c>
    </row>
    <row r="48" spans="1:7" x14ac:dyDescent="0.35">
      <c r="D48" s="7"/>
    </row>
    <row r="49" spans="1:7" x14ac:dyDescent="0.35">
      <c r="A49" s="57" t="s">
        <v>117</v>
      </c>
      <c r="B49" s="57"/>
      <c r="D49" s="7"/>
    </row>
    <row r="50" spans="1:7" s="423" customFormat="1" x14ac:dyDescent="0.35">
      <c r="A50" s="424"/>
      <c r="B50" s="424"/>
      <c r="D50" s="82" t="s">
        <v>73</v>
      </c>
      <c r="E50" s="433" t="s">
        <v>95</v>
      </c>
      <c r="F50" s="433" t="s">
        <v>97</v>
      </c>
      <c r="G50" s="433" t="s">
        <v>96</v>
      </c>
    </row>
    <row r="51" spans="1:7" s="423" customFormat="1" x14ac:dyDescent="0.35">
      <c r="A51" s="424"/>
      <c r="B51" s="424"/>
      <c r="D51" s="429"/>
    </row>
    <row r="52" spans="1:7" s="423" customFormat="1" x14ac:dyDescent="0.35">
      <c r="A52" s="424"/>
      <c r="B52" s="424"/>
      <c r="C52" s="423" t="s">
        <v>284</v>
      </c>
      <c r="D52" s="429"/>
    </row>
    <row r="53" spans="1:7" s="423" customFormat="1" x14ac:dyDescent="0.35">
      <c r="A53" s="424"/>
      <c r="B53" s="424"/>
      <c r="D53" s="429"/>
    </row>
    <row r="54" spans="1:7" s="69" customFormat="1" x14ac:dyDescent="0.35">
      <c r="C54" s="305" t="s">
        <v>68</v>
      </c>
      <c r="D54" s="308">
        <v>0</v>
      </c>
      <c r="E54" s="308">
        <v>0</v>
      </c>
      <c r="F54" s="308">
        <v>0</v>
      </c>
      <c r="G54" s="308">
        <v>0</v>
      </c>
    </row>
    <row r="55" spans="1:7" s="11" customFormat="1" x14ac:dyDescent="0.35">
      <c r="D55" s="17"/>
    </row>
    <row r="56" spans="1:7" s="11" customFormat="1" x14ac:dyDescent="0.35">
      <c r="A56" s="57" t="s">
        <v>118</v>
      </c>
      <c r="B56" s="57"/>
      <c r="D56" s="17"/>
    </row>
    <row r="57" spans="1:7" s="423" customFormat="1" x14ac:dyDescent="0.35">
      <c r="A57" s="424"/>
      <c r="B57" s="424"/>
      <c r="C57" s="424"/>
      <c r="D57" s="82" t="s">
        <v>73</v>
      </c>
      <c r="E57" s="102" t="s">
        <v>95</v>
      </c>
      <c r="F57" s="414" t="s">
        <v>97</v>
      </c>
      <c r="G57" s="414" t="s">
        <v>96</v>
      </c>
    </row>
    <row r="58" spans="1:7" s="516" customFormat="1" x14ac:dyDescent="0.35">
      <c r="A58" s="457"/>
      <c r="B58" s="431" t="s">
        <v>299</v>
      </c>
      <c r="C58" s="457"/>
      <c r="D58" s="82"/>
      <c r="E58" s="102"/>
      <c r="F58" s="433"/>
      <c r="G58" s="433"/>
    </row>
    <row r="59" spans="1:7" s="516" customFormat="1" x14ac:dyDescent="0.35">
      <c r="A59" s="457"/>
      <c r="B59" s="431" t="s">
        <v>383</v>
      </c>
      <c r="C59" s="457"/>
      <c r="D59" s="82"/>
      <c r="E59" s="102"/>
      <c r="F59" s="433"/>
      <c r="G59" s="433"/>
    </row>
    <row r="60" spans="1:7" s="423" customFormat="1" x14ac:dyDescent="0.35">
      <c r="A60" s="424"/>
      <c r="B60" s="431" t="s">
        <v>384</v>
      </c>
      <c r="D60" s="415"/>
      <c r="E60" s="415"/>
      <c r="F60" s="415"/>
      <c r="G60" s="415"/>
    </row>
    <row r="61" spans="1:7" s="516" customFormat="1" x14ac:dyDescent="0.35">
      <c r="A61" s="457"/>
      <c r="B61" s="431" t="s">
        <v>385</v>
      </c>
      <c r="D61" s="415"/>
      <c r="E61" s="415"/>
      <c r="F61" s="415"/>
      <c r="G61" s="415"/>
    </row>
    <row r="62" spans="1:7" s="516" customFormat="1" x14ac:dyDescent="0.35">
      <c r="A62" s="457"/>
      <c r="B62" s="457"/>
      <c r="D62" s="415"/>
      <c r="E62" s="415"/>
      <c r="F62" s="415"/>
      <c r="G62" s="415"/>
    </row>
    <row r="63" spans="1:7" s="423" customFormat="1" x14ac:dyDescent="0.35">
      <c r="A63" s="424"/>
      <c r="B63" s="424"/>
      <c r="C63" s="423" t="s">
        <v>363</v>
      </c>
      <c r="D63" s="199"/>
      <c r="E63" s="199">
        <f>(2.09+5.65)/2*1000000</f>
        <v>3870000</v>
      </c>
      <c r="F63" s="569">
        <f>E63</f>
        <v>3870000</v>
      </c>
      <c r="G63" s="199">
        <f>F63*2</f>
        <v>7740000</v>
      </c>
    </row>
    <row r="64" spans="1:7" s="423" customFormat="1" x14ac:dyDescent="0.35">
      <c r="A64" s="424"/>
      <c r="B64" s="424"/>
      <c r="D64" s="429"/>
      <c r="E64" s="413"/>
    </row>
    <row r="65" spans="1:7" x14ac:dyDescent="0.35">
      <c r="C65" s="305" t="s">
        <v>68</v>
      </c>
      <c r="D65" s="308">
        <f>D63</f>
        <v>0</v>
      </c>
      <c r="E65" s="308">
        <f t="shared" ref="E65:G65" si="15">E63</f>
        <v>3870000</v>
      </c>
      <c r="F65" s="308">
        <f t="shared" si="15"/>
        <v>3870000</v>
      </c>
      <c r="G65" s="308">
        <f t="shared" si="15"/>
        <v>7740000</v>
      </c>
    </row>
    <row r="67" spans="1:7" s="277" customFormat="1" x14ac:dyDescent="0.35"/>
    <row r="68" spans="1:7" s="277" customFormat="1" x14ac:dyDescent="0.35">
      <c r="A68" s="657" t="s">
        <v>131</v>
      </c>
    </row>
    <row r="69" spans="1:7" s="277" customFormat="1" x14ac:dyDescent="0.35">
      <c r="B69" s="656" t="s">
        <v>9</v>
      </c>
      <c r="C69" s="277" t="s">
        <v>285</v>
      </c>
    </row>
    <row r="70" spans="1:7" s="277" customFormat="1" x14ac:dyDescent="0.35">
      <c r="B70" s="656" t="s">
        <v>11</v>
      </c>
      <c r="C70" s="658" t="s">
        <v>436</v>
      </c>
    </row>
    <row r="71" spans="1:7" s="277" customFormat="1" x14ac:dyDescent="0.35">
      <c r="B71" s="656" t="s">
        <v>13</v>
      </c>
      <c r="C71" s="660" t="s">
        <v>454</v>
      </c>
    </row>
    <row r="72" spans="1:7" x14ac:dyDescent="0.35">
      <c r="B72" s="656" t="s">
        <v>15</v>
      </c>
      <c r="C72" s="6" t="s">
        <v>437</v>
      </c>
    </row>
    <row r="74" spans="1:7" x14ac:dyDescent="0.35">
      <c r="A74" s="205" t="s">
        <v>215</v>
      </c>
      <c r="B74" s="277"/>
      <c r="C74" s="277"/>
    </row>
    <row r="75" spans="1:7" x14ac:dyDescent="0.35">
      <c r="A75" s="277"/>
      <c r="B75" s="277" t="s">
        <v>9</v>
      </c>
      <c r="C75" s="6" t="s">
        <v>296</v>
      </c>
    </row>
    <row r="76" spans="1:7" x14ac:dyDescent="0.35">
      <c r="A76" s="277"/>
      <c r="B76" s="277" t="s">
        <v>11</v>
      </c>
      <c r="C76" s="277" t="s">
        <v>296</v>
      </c>
    </row>
    <row r="77" spans="1:7" x14ac:dyDescent="0.35">
      <c r="A77" s="277"/>
      <c r="B77" s="277" t="s">
        <v>13</v>
      </c>
      <c r="C77" s="277" t="s">
        <v>296</v>
      </c>
    </row>
    <row r="78" spans="1:7" x14ac:dyDescent="0.35">
      <c r="A78" s="277"/>
      <c r="B78" s="277" t="s">
        <v>15</v>
      </c>
      <c r="C78" s="277" t="s">
        <v>296</v>
      </c>
    </row>
  </sheetData>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3"/>
  <sheetViews>
    <sheetView zoomScale="70" zoomScaleNormal="70" workbookViewId="0">
      <selection activeCell="A54" sqref="A54:XFD58"/>
    </sheetView>
  </sheetViews>
  <sheetFormatPr defaultRowHeight="14.5" x14ac:dyDescent="0.35"/>
  <cols>
    <col min="1" max="1" width="5.90625" customWidth="1"/>
    <col min="2" max="2" width="5.6328125" customWidth="1"/>
    <col min="3" max="3" width="53.54296875" customWidth="1"/>
    <col min="4" max="4" width="11.453125" customWidth="1"/>
    <col min="5" max="5" width="15" bestFit="1" customWidth="1"/>
    <col min="6" max="7" width="16.08984375" bestFit="1" customWidth="1"/>
    <col min="8" max="8" width="17.36328125" bestFit="1" customWidth="1"/>
  </cols>
  <sheetData>
    <row r="1" spans="1:21" x14ac:dyDescent="0.35">
      <c r="A1" s="457" t="s">
        <v>353</v>
      </c>
      <c r="B1" s="64"/>
      <c r="C1" s="64"/>
      <c r="D1" s="64"/>
      <c r="E1" s="64"/>
      <c r="F1" s="64"/>
      <c r="G1" s="64"/>
      <c r="H1" s="64"/>
      <c r="I1" s="64"/>
      <c r="J1" s="64"/>
    </row>
    <row r="2" spans="1:21" x14ac:dyDescent="0.35">
      <c r="A2" s="64"/>
      <c r="B2" s="64"/>
      <c r="C2" s="64"/>
      <c r="D2" s="64"/>
      <c r="E2" s="64"/>
      <c r="F2" s="64"/>
      <c r="G2" s="64"/>
      <c r="H2" s="64"/>
      <c r="I2" s="64"/>
      <c r="J2" s="64"/>
    </row>
    <row r="3" spans="1:21" x14ac:dyDescent="0.35">
      <c r="A3" s="57" t="s">
        <v>98</v>
      </c>
      <c r="B3" s="64"/>
      <c r="C3" s="64"/>
      <c r="D3" s="64" t="s">
        <v>59</v>
      </c>
      <c r="E3" s="64">
        <v>1</v>
      </c>
      <c r="F3" s="64">
        <v>10</v>
      </c>
      <c r="G3" s="64">
        <v>50</v>
      </c>
      <c r="H3" s="64">
        <v>100</v>
      </c>
      <c r="I3" s="64"/>
      <c r="J3" s="64"/>
    </row>
    <row r="4" spans="1:21" x14ac:dyDescent="0.35">
      <c r="A4" s="57"/>
      <c r="B4" s="64" t="s">
        <v>19</v>
      </c>
      <c r="C4" s="64" t="s">
        <v>20</v>
      </c>
      <c r="D4" s="64"/>
      <c r="E4" s="40">
        <f>E20</f>
        <v>182475</v>
      </c>
      <c r="F4" s="40">
        <f t="shared" ref="F4:H4" si="0">F20</f>
        <v>1642275</v>
      </c>
      <c r="G4" s="40">
        <f t="shared" si="0"/>
        <v>8211375</v>
      </c>
      <c r="H4" s="40">
        <f t="shared" si="0"/>
        <v>16422750</v>
      </c>
      <c r="I4" s="64"/>
      <c r="J4" s="64"/>
      <c r="U4" s="516"/>
    </row>
    <row r="5" spans="1:21" x14ac:dyDescent="0.35">
      <c r="A5" s="57"/>
      <c r="B5" s="64" t="s">
        <v>21</v>
      </c>
      <c r="C5" s="64" t="s">
        <v>22</v>
      </c>
      <c r="D5" s="64"/>
      <c r="E5" s="40">
        <f>E27</f>
        <v>180000</v>
      </c>
      <c r="F5" s="40">
        <f t="shared" ref="F5:H5" si="1">F27</f>
        <v>1620000</v>
      </c>
      <c r="G5" s="40">
        <f t="shared" si="1"/>
        <v>8100000</v>
      </c>
      <c r="H5" s="40">
        <f t="shared" si="1"/>
        <v>16200000</v>
      </c>
      <c r="I5" s="64"/>
      <c r="J5" s="64"/>
      <c r="U5" s="516"/>
    </row>
    <row r="6" spans="1:21" s="516" customFormat="1" x14ac:dyDescent="0.35">
      <c r="A6" s="457"/>
      <c r="B6" s="516" t="s">
        <v>23</v>
      </c>
      <c r="C6" s="516" t="s">
        <v>350</v>
      </c>
      <c r="E6" s="494">
        <f>E32</f>
        <v>60000</v>
      </c>
      <c r="F6" s="494">
        <f t="shared" ref="F6:H6" si="2">F32</f>
        <v>540000</v>
      </c>
      <c r="G6" s="494">
        <f t="shared" si="2"/>
        <v>2700000</v>
      </c>
      <c r="H6" s="494">
        <f t="shared" si="2"/>
        <v>5400000</v>
      </c>
    </row>
    <row r="7" spans="1:21" x14ac:dyDescent="0.35">
      <c r="A7" s="57"/>
      <c r="B7" s="64" t="s">
        <v>23</v>
      </c>
      <c r="C7" s="455" t="s">
        <v>25</v>
      </c>
      <c r="D7" s="64"/>
      <c r="E7" s="307">
        <f>E44</f>
        <v>102300</v>
      </c>
      <c r="F7" s="494">
        <f t="shared" ref="F7:H7" si="3">F44</f>
        <v>920700</v>
      </c>
      <c r="G7" s="494">
        <f t="shared" si="3"/>
        <v>4603500</v>
      </c>
      <c r="H7" s="494">
        <f t="shared" si="3"/>
        <v>9207000</v>
      </c>
      <c r="I7" s="64"/>
      <c r="J7" s="64"/>
      <c r="U7" s="516"/>
    </row>
    <row r="8" spans="1:21" s="516" customFormat="1" x14ac:dyDescent="0.35">
      <c r="A8" s="457"/>
      <c r="B8" s="516" t="s">
        <v>24</v>
      </c>
      <c r="C8" s="516" t="s">
        <v>17</v>
      </c>
      <c r="E8" s="494"/>
      <c r="F8" s="494"/>
      <c r="G8" s="494"/>
      <c r="H8" s="494"/>
    </row>
    <row r="9" spans="1:21" x14ac:dyDescent="0.35">
      <c r="A9" s="57"/>
      <c r="B9" s="64"/>
      <c r="C9" s="64"/>
      <c r="D9" s="40"/>
      <c r="E9" s="40"/>
      <c r="F9" s="40"/>
      <c r="G9" s="40"/>
      <c r="H9" s="64"/>
      <c r="I9" s="64"/>
      <c r="J9" s="64"/>
      <c r="U9" s="516"/>
    </row>
    <row r="10" spans="1:21" x14ac:dyDescent="0.35">
      <c r="A10" s="57"/>
      <c r="B10" s="19" t="s">
        <v>70</v>
      </c>
      <c r="C10" s="19"/>
      <c r="D10" s="20"/>
      <c r="E10" s="308">
        <f>SUM(E4:E7)</f>
        <v>524775</v>
      </c>
      <c r="F10" s="308">
        <f>SUM(F4:F7)</f>
        <v>4722975</v>
      </c>
      <c r="G10" s="308">
        <f>SUM(G4:G7)</f>
        <v>23614875</v>
      </c>
      <c r="H10" s="308">
        <f>SUM(H4:H7)</f>
        <v>47229750</v>
      </c>
      <c r="I10" s="64"/>
      <c r="J10" s="64"/>
      <c r="U10" s="516"/>
    </row>
    <row r="11" spans="1:21" x14ac:dyDescent="0.35">
      <c r="A11" s="57"/>
      <c r="B11" s="64"/>
      <c r="C11" s="64"/>
      <c r="D11" s="40"/>
      <c r="E11" s="40"/>
      <c r="F11" s="40"/>
      <c r="G11" s="40"/>
      <c r="H11" s="64"/>
      <c r="I11" s="64"/>
      <c r="J11" s="64"/>
    </row>
    <row r="12" spans="1:21" s="455" customFormat="1" x14ac:dyDescent="0.35">
      <c r="A12" s="457"/>
      <c r="D12" s="467"/>
      <c r="E12" s="467"/>
      <c r="F12" s="467"/>
      <c r="G12" s="467"/>
    </row>
    <row r="13" spans="1:21" s="455" customFormat="1" x14ac:dyDescent="0.35">
      <c r="A13" s="457"/>
      <c r="D13" s="467"/>
      <c r="E13" s="467"/>
      <c r="F13" s="82" t="s">
        <v>271</v>
      </c>
      <c r="G13" s="467" t="s">
        <v>59</v>
      </c>
    </row>
    <row r="14" spans="1:21" x14ac:dyDescent="0.35">
      <c r="A14" s="57" t="s">
        <v>119</v>
      </c>
      <c r="E14" s="561">
        <v>1</v>
      </c>
      <c r="F14" s="561">
        <v>10</v>
      </c>
      <c r="G14" s="561">
        <v>50</v>
      </c>
      <c r="H14" s="561">
        <v>100</v>
      </c>
    </row>
    <row r="15" spans="1:21" s="516" customFormat="1" x14ac:dyDescent="0.35">
      <c r="A15" s="457"/>
      <c r="E15" s="82"/>
      <c r="F15" s="102"/>
      <c r="G15" s="433"/>
      <c r="H15" s="433"/>
    </row>
    <row r="16" spans="1:21" s="516" customFormat="1" x14ac:dyDescent="0.35">
      <c r="A16" s="457"/>
      <c r="B16" s="516" t="s">
        <v>286</v>
      </c>
      <c r="E16" s="82">
        <v>27000</v>
      </c>
      <c r="F16" s="102">
        <f>0.9*E16*$F$14</f>
        <v>243000</v>
      </c>
      <c r="G16" s="102">
        <f>F16*5</f>
        <v>1215000</v>
      </c>
      <c r="H16" s="102">
        <f>G16*2</f>
        <v>2430000</v>
      </c>
    </row>
    <row r="17" spans="1:9" s="516" customFormat="1" x14ac:dyDescent="0.35">
      <c r="A17" s="457"/>
      <c r="B17" s="516" t="s">
        <v>288</v>
      </c>
      <c r="E17" s="82">
        <v>43875</v>
      </c>
      <c r="F17" s="102">
        <f t="shared" ref="F17:F18" si="4">0.9*E17*$F$14</f>
        <v>394875</v>
      </c>
      <c r="G17" s="102">
        <f t="shared" ref="G17:G18" si="5">F17*5</f>
        <v>1974375</v>
      </c>
      <c r="H17" s="102">
        <f t="shared" ref="H17:H18" si="6">G17*2</f>
        <v>3948750</v>
      </c>
    </row>
    <row r="18" spans="1:9" s="516" customFormat="1" x14ac:dyDescent="0.35">
      <c r="A18" s="457"/>
      <c r="B18" s="516" t="s">
        <v>289</v>
      </c>
      <c r="E18" s="82">
        <v>111600</v>
      </c>
      <c r="F18" s="102">
        <f t="shared" si="4"/>
        <v>1004400</v>
      </c>
      <c r="G18" s="102">
        <f t="shared" si="5"/>
        <v>5022000</v>
      </c>
      <c r="H18" s="102">
        <f t="shared" si="6"/>
        <v>10044000</v>
      </c>
    </row>
    <row r="20" spans="1:9" s="69" customFormat="1" x14ac:dyDescent="0.35">
      <c r="B20" s="19" t="s">
        <v>70</v>
      </c>
      <c r="C20" s="19"/>
      <c r="D20" s="19"/>
      <c r="E20" s="20">
        <f>SUM(E16:E18)</f>
        <v>182475</v>
      </c>
      <c r="F20" s="308">
        <f>SUM(F16:F18)</f>
        <v>1642275</v>
      </c>
      <c r="G20" s="308">
        <f>SUM(G16:G18)</f>
        <v>8211375</v>
      </c>
      <c r="H20" s="308">
        <f>SUM(H16:H18)</f>
        <v>16422750</v>
      </c>
    </row>
    <row r="21" spans="1:9" s="455" customFormat="1" x14ac:dyDescent="0.35">
      <c r="B21" s="456"/>
      <c r="C21" s="456"/>
      <c r="D21" s="456"/>
      <c r="E21" s="464"/>
      <c r="F21" s="464"/>
      <c r="G21" s="464"/>
      <c r="H21" s="464"/>
    </row>
    <row r="22" spans="1:9" x14ac:dyDescent="0.35">
      <c r="F22" s="433" t="s">
        <v>271</v>
      </c>
      <c r="G22" t="s">
        <v>59</v>
      </c>
    </row>
    <row r="23" spans="1:9" x14ac:dyDescent="0.35">
      <c r="A23" s="57" t="s">
        <v>120</v>
      </c>
      <c r="E23" s="561">
        <v>1</v>
      </c>
      <c r="F23" s="561">
        <v>10</v>
      </c>
      <c r="G23" s="561">
        <v>50</v>
      </c>
      <c r="H23" s="561">
        <v>100</v>
      </c>
    </row>
    <row r="24" spans="1:9" s="516" customFormat="1" x14ac:dyDescent="0.35">
      <c r="A24" s="457"/>
      <c r="E24" s="82"/>
      <c r="F24" s="102"/>
      <c r="G24" s="433"/>
      <c r="H24" s="433"/>
    </row>
    <row r="25" spans="1:9" s="516" customFormat="1" x14ac:dyDescent="0.35">
      <c r="A25" s="457"/>
      <c r="B25" s="516" t="s">
        <v>294</v>
      </c>
      <c r="E25" s="82">
        <v>180000</v>
      </c>
      <c r="F25" s="102">
        <f>0.9*E25*$F$14</f>
        <v>1620000</v>
      </c>
      <c r="G25" s="102">
        <f>F25*5</f>
        <v>8100000</v>
      </c>
      <c r="H25" s="102">
        <f>G25*2</f>
        <v>16200000</v>
      </c>
    </row>
    <row r="26" spans="1:9" s="69" customFormat="1" x14ac:dyDescent="0.35">
      <c r="E26" s="40"/>
      <c r="F26" s="40"/>
      <c r="G26" s="40"/>
      <c r="H26" s="40"/>
    </row>
    <row r="27" spans="1:9" s="69" customFormat="1" x14ac:dyDescent="0.35">
      <c r="B27" s="19" t="s">
        <v>70</v>
      </c>
      <c r="C27" s="19"/>
      <c r="D27" s="19"/>
      <c r="E27" s="20">
        <f>SUM(E24:E25)</f>
        <v>180000</v>
      </c>
      <c r="F27" s="308">
        <f t="shared" ref="F27:H27" si="7">SUM(F24:F25)</f>
        <v>1620000</v>
      </c>
      <c r="G27" s="308">
        <f t="shared" si="7"/>
        <v>8100000</v>
      </c>
      <c r="H27" s="308">
        <f t="shared" si="7"/>
        <v>16200000</v>
      </c>
      <c r="I27" s="464"/>
    </row>
    <row r="28" spans="1:9" s="516" customFormat="1" x14ac:dyDescent="0.35">
      <c r="B28" s="517"/>
      <c r="C28" s="517"/>
      <c r="D28" s="517"/>
      <c r="E28" s="464"/>
      <c r="F28" s="464"/>
      <c r="G28" s="464"/>
      <c r="H28" s="464"/>
      <c r="I28" s="464"/>
    </row>
    <row r="29" spans="1:9" s="516" customFormat="1" x14ac:dyDescent="0.35">
      <c r="F29" s="433" t="s">
        <v>271</v>
      </c>
      <c r="G29" s="516" t="s">
        <v>59</v>
      </c>
      <c r="I29" s="464"/>
    </row>
    <row r="30" spans="1:9" s="516" customFormat="1" x14ac:dyDescent="0.35">
      <c r="A30" s="457" t="s">
        <v>439</v>
      </c>
      <c r="E30" s="561">
        <v>1</v>
      </c>
      <c r="F30" s="561">
        <v>10</v>
      </c>
      <c r="G30" s="561">
        <v>50</v>
      </c>
      <c r="H30" s="561">
        <v>100</v>
      </c>
      <c r="I30" s="464"/>
    </row>
    <row r="31" spans="1:9" s="516" customFormat="1" x14ac:dyDescent="0.35">
      <c r="A31" s="457"/>
      <c r="E31" s="82"/>
      <c r="F31" s="102"/>
      <c r="G31" s="433"/>
      <c r="H31" s="433"/>
      <c r="I31" s="464"/>
    </row>
    <row r="32" spans="1:9" s="516" customFormat="1" x14ac:dyDescent="0.35">
      <c r="A32" s="457"/>
      <c r="B32" s="516" t="s">
        <v>287</v>
      </c>
      <c r="E32" s="82">
        <v>60000</v>
      </c>
      <c r="F32" s="102">
        <f>0.9*E32*$F$14</f>
        <v>540000</v>
      </c>
      <c r="G32" s="102">
        <f>F32*5</f>
        <v>2700000</v>
      </c>
      <c r="H32" s="102">
        <f>G32*2</f>
        <v>5400000</v>
      </c>
    </row>
    <row r="33" spans="1:9" s="516" customFormat="1" x14ac:dyDescent="0.35">
      <c r="E33" s="494"/>
      <c r="F33" s="494"/>
      <c r="G33" s="494"/>
      <c r="H33" s="494"/>
      <c r="I33" s="464"/>
    </row>
    <row r="34" spans="1:9" s="516" customFormat="1" x14ac:dyDescent="0.35">
      <c r="B34" s="305" t="s">
        <v>70</v>
      </c>
      <c r="C34" s="305"/>
      <c r="D34" s="305"/>
      <c r="E34" s="308">
        <f>SUM(E31:E32)</f>
        <v>60000</v>
      </c>
      <c r="F34" s="308">
        <f>SUM(F31:F32)</f>
        <v>540000</v>
      </c>
      <c r="G34" s="308">
        <f>SUM(G31:G32)</f>
        <v>2700000</v>
      </c>
      <c r="H34" s="308">
        <f>SUM(H31:H32)</f>
        <v>5400000</v>
      </c>
      <c r="I34" s="464"/>
    </row>
    <row r="35" spans="1:9" s="516" customFormat="1" x14ac:dyDescent="0.35">
      <c r="B35" s="517"/>
      <c r="C35" s="517"/>
      <c r="D35" s="517"/>
      <c r="E35" s="464"/>
      <c r="F35" s="464"/>
      <c r="G35" s="464"/>
      <c r="H35" s="464"/>
      <c r="I35" s="464"/>
    </row>
    <row r="36" spans="1:9" x14ac:dyDescent="0.35">
      <c r="F36" s="433" t="s">
        <v>271</v>
      </c>
      <c r="G36" t="s">
        <v>59</v>
      </c>
    </row>
    <row r="37" spans="1:9" x14ac:dyDescent="0.35">
      <c r="A37" s="57" t="s">
        <v>438</v>
      </c>
      <c r="E37" s="561">
        <v>1</v>
      </c>
      <c r="F37" s="561">
        <v>10</v>
      </c>
      <c r="G37" s="433">
        <v>50</v>
      </c>
      <c r="H37" s="433">
        <v>100</v>
      </c>
    </row>
    <row r="38" spans="1:9" s="516" customFormat="1" x14ac:dyDescent="0.35">
      <c r="A38" s="457"/>
      <c r="E38" s="82"/>
      <c r="F38" s="102"/>
      <c r="G38" s="433"/>
      <c r="H38" s="433"/>
    </row>
    <row r="39" spans="1:9" s="516" customFormat="1" x14ac:dyDescent="0.35">
      <c r="A39" s="457"/>
      <c r="B39" s="516" t="s">
        <v>290</v>
      </c>
      <c r="E39" s="82">
        <v>14100</v>
      </c>
      <c r="F39" s="102">
        <f>0.9*E39*$F$14</f>
        <v>126900</v>
      </c>
      <c r="G39" s="102">
        <f>F39*5</f>
        <v>634500</v>
      </c>
      <c r="H39" s="102">
        <f>G39*2</f>
        <v>1269000</v>
      </c>
    </row>
    <row r="40" spans="1:9" s="516" customFormat="1" x14ac:dyDescent="0.35">
      <c r="A40" s="457"/>
      <c r="B40" s="516" t="s">
        <v>291</v>
      </c>
      <c r="E40" s="82">
        <v>14400</v>
      </c>
      <c r="F40" s="102">
        <f>0.9*E40*$F$14</f>
        <v>129600</v>
      </c>
      <c r="G40" s="102">
        <f>F40*5</f>
        <v>648000</v>
      </c>
      <c r="H40" s="102">
        <f>G40*2</f>
        <v>1296000</v>
      </c>
    </row>
    <row r="41" spans="1:9" s="516" customFormat="1" x14ac:dyDescent="0.35">
      <c r="A41" s="457"/>
      <c r="B41" s="516" t="s">
        <v>292</v>
      </c>
      <c r="E41" s="82">
        <v>27000</v>
      </c>
      <c r="F41" s="102">
        <f>0.9*E41*$F$14</f>
        <v>243000</v>
      </c>
      <c r="G41" s="102">
        <f>F41*5</f>
        <v>1215000</v>
      </c>
      <c r="H41" s="102">
        <f>G41*2</f>
        <v>2430000</v>
      </c>
    </row>
    <row r="42" spans="1:9" s="516" customFormat="1" x14ac:dyDescent="0.35">
      <c r="A42" s="457"/>
      <c r="B42" s="516" t="s">
        <v>293</v>
      </c>
      <c r="E42" s="82">
        <v>46800</v>
      </c>
      <c r="F42" s="102">
        <f>0.9*E42*$F$14</f>
        <v>421200</v>
      </c>
      <c r="G42" s="102">
        <f>F42*5</f>
        <v>2106000</v>
      </c>
      <c r="H42" s="102">
        <f>G42*2</f>
        <v>4212000</v>
      </c>
    </row>
    <row r="44" spans="1:9" x14ac:dyDescent="0.35">
      <c r="B44" s="19" t="s">
        <v>70</v>
      </c>
      <c r="C44" s="19"/>
      <c r="D44" s="19"/>
      <c r="E44" s="20">
        <f>SUM(E39:E42)</f>
        <v>102300</v>
      </c>
      <c r="F44" s="308">
        <f t="shared" ref="F44:H44" si="8">SUM(F39:F42)</f>
        <v>920700</v>
      </c>
      <c r="G44" s="308">
        <f t="shared" si="8"/>
        <v>4603500</v>
      </c>
      <c r="H44" s="308">
        <f t="shared" si="8"/>
        <v>9207000</v>
      </c>
    </row>
    <row r="45" spans="1:9" s="455" customFormat="1" x14ac:dyDescent="0.35">
      <c r="B45" s="456"/>
      <c r="C45" s="456"/>
      <c r="D45" s="456"/>
      <c r="E45" s="464"/>
      <c r="F45" s="464"/>
      <c r="G45" s="464"/>
      <c r="H45" s="464"/>
    </row>
    <row r="47" spans="1:9" s="277" customFormat="1" x14ac:dyDescent="0.35">
      <c r="A47" s="205" t="s">
        <v>131</v>
      </c>
    </row>
    <row r="48" spans="1:9" s="695" customFormat="1" x14ac:dyDescent="0.35">
      <c r="A48" s="657"/>
      <c r="B48" s="693" t="s">
        <v>459</v>
      </c>
    </row>
    <row r="49" spans="1:2" s="277" customFormat="1" x14ac:dyDescent="0.35">
      <c r="A49" s="277" t="s">
        <v>19</v>
      </c>
      <c r="B49" s="277" t="s">
        <v>295</v>
      </c>
    </row>
    <row r="50" spans="1:2" s="277" customFormat="1" x14ac:dyDescent="0.35">
      <c r="A50" s="277" t="s">
        <v>21</v>
      </c>
      <c r="B50" s="516" t="s">
        <v>295</v>
      </c>
    </row>
    <row r="51" spans="1:2" s="277" customFormat="1" x14ac:dyDescent="0.35">
      <c r="A51" s="277" t="s">
        <v>23</v>
      </c>
      <c r="B51" s="516" t="s">
        <v>295</v>
      </c>
    </row>
    <row r="52" spans="1:2" s="660" customFormat="1" x14ac:dyDescent="0.35">
      <c r="A52" s="660" t="s">
        <v>24</v>
      </c>
      <c r="B52" s="660" t="s">
        <v>295</v>
      </c>
    </row>
    <row r="53" spans="1:2" s="277" customFormat="1"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36"/>
  <sheetViews>
    <sheetView zoomScaleNormal="100" workbookViewId="0">
      <selection activeCell="D36" sqref="D36"/>
    </sheetView>
  </sheetViews>
  <sheetFormatPr defaultColWidth="9.08984375" defaultRowHeight="14.5" x14ac:dyDescent="0.35"/>
  <cols>
    <col min="1" max="1" width="7.08984375" style="11" customWidth="1"/>
    <col min="2" max="2" width="3.54296875" style="11" customWidth="1"/>
    <col min="3" max="3" width="7.08984375" style="11" customWidth="1"/>
    <col min="4" max="4" width="40.6328125" style="11" bestFit="1" customWidth="1"/>
    <col min="5" max="5" width="15.08984375" style="11" bestFit="1" customWidth="1"/>
    <col min="6" max="6" width="17.90625" style="11" customWidth="1"/>
    <col min="7" max="7" width="18.54296875" style="11" customWidth="1"/>
    <col min="8" max="8" width="16.36328125" style="11" bestFit="1" customWidth="1"/>
    <col min="9" max="9" width="17.08984375" style="11" bestFit="1" customWidth="1"/>
    <col min="10" max="10" width="12" style="11" customWidth="1"/>
    <col min="11" max="11" width="11.90625" style="11" customWidth="1"/>
    <col min="12" max="12" width="16.36328125" style="11" bestFit="1" customWidth="1"/>
    <col min="13" max="13" width="10.54296875" style="11" customWidth="1"/>
    <col min="14" max="15" width="9.08984375" style="11"/>
    <col min="16" max="17" width="8.90625" customWidth="1"/>
    <col min="18" max="16384" width="9.08984375" style="11"/>
  </cols>
  <sheetData>
    <row r="1" spans="1:21" x14ac:dyDescent="0.35">
      <c r="A1" s="457" t="s">
        <v>354</v>
      </c>
      <c r="P1" s="11"/>
      <c r="Q1" s="11"/>
    </row>
    <row r="2" spans="1:21" x14ac:dyDescent="0.35">
      <c r="A2" s="14"/>
      <c r="P2" s="11"/>
      <c r="Q2" s="11"/>
    </row>
    <row r="3" spans="1:21" x14ac:dyDescent="0.35">
      <c r="A3" s="12" t="s">
        <v>98</v>
      </c>
      <c r="E3" s="11">
        <v>1</v>
      </c>
      <c r="F3" s="11">
        <v>10</v>
      </c>
      <c r="G3" s="11">
        <v>50</v>
      </c>
      <c r="H3" s="11">
        <v>100</v>
      </c>
      <c r="I3" s="206" t="s">
        <v>99</v>
      </c>
      <c r="P3" s="11"/>
      <c r="Q3" s="11"/>
    </row>
    <row r="4" spans="1:21" x14ac:dyDescent="0.35">
      <c r="A4" s="14"/>
      <c r="B4" s="11" t="s">
        <v>28</v>
      </c>
      <c r="D4" s="11" t="str">
        <f>B11</f>
        <v>OE Buoy Hull (50m x 40m)</v>
      </c>
      <c r="E4" s="105">
        <f>E17*E3</f>
        <v>5015000</v>
      </c>
      <c r="F4" s="105">
        <f t="shared" ref="F4:H4" si="0">F17*F3</f>
        <v>35996529.757792965</v>
      </c>
      <c r="G4" s="105">
        <f t="shared" si="0"/>
        <v>142748566.96250194</v>
      </c>
      <c r="H4" s="105">
        <f t="shared" si="0"/>
        <v>258374906.20212853</v>
      </c>
      <c r="I4" s="55">
        <v>425</v>
      </c>
      <c r="P4" s="11"/>
      <c r="Q4" s="11"/>
    </row>
    <row r="5" spans="1:21" x14ac:dyDescent="0.35">
      <c r="A5" s="14"/>
      <c r="B5" s="11" t="s">
        <v>29</v>
      </c>
      <c r="D5" s="64" t="str">
        <f>B22</f>
        <v>Device Access (Railings, Ladders, etc)</v>
      </c>
      <c r="E5" s="110">
        <f>E27*E3</f>
        <v>250750</v>
      </c>
      <c r="F5" s="426">
        <f t="shared" ref="F5:H5" si="1">F27*F3</f>
        <v>1799826.4878896484</v>
      </c>
      <c r="G5" s="426">
        <f t="shared" si="1"/>
        <v>7137428.3481250964</v>
      </c>
      <c r="H5" s="426">
        <f t="shared" si="1"/>
        <v>12918745.310106426</v>
      </c>
      <c r="P5" s="11"/>
      <c r="Q5" s="11"/>
    </row>
    <row r="6" spans="1:21" x14ac:dyDescent="0.35">
      <c r="A6" s="14"/>
      <c r="E6" s="105"/>
      <c r="F6" s="105"/>
      <c r="G6" s="105"/>
      <c r="H6" s="105"/>
      <c r="P6" s="11"/>
      <c r="Q6" s="11"/>
    </row>
    <row r="7" spans="1:21" x14ac:dyDescent="0.35">
      <c r="A7" s="14"/>
      <c r="C7" s="19" t="s">
        <v>70</v>
      </c>
      <c r="D7" s="19"/>
      <c r="E7" s="107">
        <f>SUM(E4:E5)</f>
        <v>5265750</v>
      </c>
      <c r="F7" s="107">
        <f>SUM(F4:F5)</f>
        <v>37796356.245682612</v>
      </c>
      <c r="G7" s="107">
        <f>SUM(G4:G5)</f>
        <v>149885995.31062704</v>
      </c>
      <c r="H7" s="107">
        <f>SUM(H4:H5)</f>
        <v>271293651.51223493</v>
      </c>
      <c r="J7" s="456"/>
      <c r="K7" s="456"/>
      <c r="L7" s="456"/>
      <c r="M7" s="456"/>
      <c r="N7" s="456"/>
      <c r="O7" s="456"/>
      <c r="P7" s="456"/>
      <c r="Q7" s="456"/>
      <c r="R7" s="456"/>
      <c r="S7" s="456"/>
      <c r="T7" s="456"/>
      <c r="U7" s="456"/>
    </row>
    <row r="8" spans="1:21" x14ac:dyDescent="0.35">
      <c r="B8" s="14"/>
      <c r="E8" s="62"/>
      <c r="F8" s="62"/>
      <c r="G8" s="62"/>
      <c r="H8" s="62"/>
      <c r="J8" s="517"/>
      <c r="K8" s="517"/>
      <c r="L8" s="517"/>
      <c r="M8" s="517"/>
      <c r="N8" s="517"/>
      <c r="O8" s="517"/>
      <c r="P8" s="517"/>
      <c r="Q8" s="517"/>
      <c r="R8" s="517"/>
      <c r="S8" s="517"/>
      <c r="T8" s="517"/>
      <c r="U8" s="456"/>
    </row>
    <row r="9" spans="1:21" x14ac:dyDescent="0.35">
      <c r="F9" s="63"/>
      <c r="G9" s="63"/>
      <c r="J9" s="517"/>
      <c r="K9" s="517"/>
      <c r="L9" s="517"/>
      <c r="M9" s="517"/>
      <c r="N9" s="517"/>
      <c r="O9" s="517"/>
      <c r="P9" s="517"/>
      <c r="Q9" s="517"/>
      <c r="R9" s="517"/>
      <c r="S9" s="517"/>
      <c r="T9" s="517"/>
      <c r="U9" s="456"/>
    </row>
    <row r="10" spans="1:21" s="15" customFormat="1" x14ac:dyDescent="0.35">
      <c r="C10" s="29"/>
      <c r="F10" s="26"/>
      <c r="G10" s="26"/>
      <c r="H10" s="26"/>
      <c r="I10" s="26"/>
      <c r="J10" s="512"/>
      <c r="K10" s="27"/>
      <c r="L10" s="28"/>
      <c r="M10" s="517"/>
      <c r="N10" s="517"/>
      <c r="O10" s="517"/>
      <c r="P10" s="517"/>
      <c r="Q10" s="517"/>
      <c r="R10" s="517"/>
      <c r="S10" s="517"/>
      <c r="T10" s="517"/>
      <c r="U10" s="456"/>
    </row>
    <row r="11" spans="1:21" s="15" customFormat="1" x14ac:dyDescent="0.35">
      <c r="A11" s="31" t="s">
        <v>28</v>
      </c>
      <c r="B11" s="31" t="s">
        <v>460</v>
      </c>
      <c r="J11" s="517"/>
      <c r="K11" s="521"/>
      <c r="L11" s="521"/>
      <c r="M11" s="521"/>
      <c r="N11" s="517"/>
      <c r="O11" s="521"/>
      <c r="P11" s="517"/>
      <c r="Q11" s="517"/>
      <c r="R11" s="517"/>
      <c r="S11" s="517"/>
      <c r="T11" s="517"/>
      <c r="U11" s="456"/>
    </row>
    <row r="12" spans="1:21" x14ac:dyDescent="0.35">
      <c r="F12" s="80"/>
      <c r="G12" s="80"/>
      <c r="H12" s="80"/>
      <c r="J12" s="517"/>
      <c r="K12" s="521"/>
      <c r="L12" s="496"/>
      <c r="M12" s="496"/>
      <c r="N12" s="497"/>
      <c r="O12" s="496"/>
      <c r="P12" s="517"/>
      <c r="Q12" s="517"/>
      <c r="R12" s="517"/>
      <c r="S12" s="517"/>
      <c r="T12" s="517"/>
      <c r="U12" s="456"/>
    </row>
    <row r="13" spans="1:21" x14ac:dyDescent="0.35">
      <c r="C13" s="11" t="s">
        <v>461</v>
      </c>
      <c r="E13" s="11">
        <v>425</v>
      </c>
      <c r="F13" s="659" t="s">
        <v>134</v>
      </c>
      <c r="G13" s="686"/>
      <c r="H13" s="686"/>
      <c r="I13" s="17"/>
      <c r="J13" s="453"/>
      <c r="K13" s="521"/>
      <c r="L13" s="442"/>
      <c r="M13" s="442"/>
      <c r="N13" s="442"/>
      <c r="O13" s="442"/>
      <c r="P13" s="517"/>
      <c r="Q13" s="517"/>
      <c r="R13" s="517"/>
      <c r="S13" s="517"/>
      <c r="T13" s="517"/>
      <c r="U13" s="456"/>
    </row>
    <row r="14" spans="1:21" x14ac:dyDescent="0.35">
      <c r="C14" s="11" t="s">
        <v>462</v>
      </c>
      <c r="E14" s="426">
        <v>11800</v>
      </c>
      <c r="F14" s="224">
        <f>$E$14*F3^(LOG10($K$14)/LOG10(2))</f>
        <v>8469.7717077159923</v>
      </c>
      <c r="G14" s="224">
        <f>$E$14*G3^(LOG10($K$14)/LOG10(2))</f>
        <v>6717.5796217647976</v>
      </c>
      <c r="H14" s="224">
        <f>$E$14*H3^(LOG10($K$14)/LOG10(2))</f>
        <v>6079.4095576971422</v>
      </c>
      <c r="I14" s="17"/>
      <c r="J14" s="453" t="s">
        <v>465</v>
      </c>
      <c r="K14" s="521">
        <v>0.90500000000000003</v>
      </c>
      <c r="L14" s="442"/>
      <c r="M14" s="442"/>
      <c r="N14" s="442"/>
      <c r="O14" s="442"/>
      <c r="P14" s="517"/>
      <c r="Q14" s="517"/>
      <c r="R14" s="517"/>
      <c r="S14" s="517"/>
      <c r="T14" s="517"/>
      <c r="U14" s="456"/>
    </row>
    <row r="15" spans="1:21" s="69" customFormat="1" x14ac:dyDescent="0.35">
      <c r="F15" s="659"/>
      <c r="G15" s="659"/>
      <c r="H15" s="659"/>
      <c r="I15" s="40"/>
      <c r="J15" s="453"/>
      <c r="K15" s="521"/>
      <c r="L15" s="442"/>
      <c r="M15" s="442"/>
      <c r="N15" s="442"/>
      <c r="O15" s="442"/>
      <c r="P15" s="452"/>
      <c r="Q15" s="452"/>
      <c r="R15" s="452"/>
      <c r="S15" s="452"/>
      <c r="T15" s="517"/>
      <c r="U15" s="456"/>
    </row>
    <row r="16" spans="1:21" s="69" customFormat="1" x14ac:dyDescent="0.35">
      <c r="C16" s="60"/>
      <c r="D16" s="65"/>
      <c r="E16" s="65"/>
      <c r="F16" s="311"/>
      <c r="G16" s="311"/>
      <c r="H16" s="311"/>
      <c r="I16" s="40"/>
      <c r="J16" s="493"/>
      <c r="K16" s="521"/>
      <c r="L16" s="442"/>
      <c r="M16" s="442"/>
      <c r="N16" s="442"/>
      <c r="O16" s="442"/>
      <c r="P16" s="517"/>
      <c r="Q16" s="517"/>
      <c r="R16" s="517"/>
      <c r="S16" s="517"/>
      <c r="T16" s="517"/>
      <c r="U16" s="456"/>
    </row>
    <row r="17" spans="1:21" s="58" customFormat="1" x14ac:dyDescent="0.35">
      <c r="C17" s="109" t="s">
        <v>70</v>
      </c>
      <c r="D17" s="24"/>
      <c r="E17" s="708">
        <f>$E$13*E14</f>
        <v>5015000</v>
      </c>
      <c r="F17" s="708">
        <f t="shared" ref="F17:H17" si="2">$E$13*F14</f>
        <v>3599652.9757792968</v>
      </c>
      <c r="G17" s="708">
        <f t="shared" si="2"/>
        <v>2854971.3392500388</v>
      </c>
      <c r="H17" s="708">
        <f t="shared" si="2"/>
        <v>2583749.0620212853</v>
      </c>
      <c r="I17" s="108"/>
      <c r="J17" s="520"/>
      <c r="K17" s="520"/>
      <c r="L17" s="520"/>
      <c r="M17" s="520"/>
      <c r="N17" s="520"/>
      <c r="O17" s="520"/>
      <c r="P17" s="520"/>
      <c r="Q17" s="520"/>
      <c r="R17" s="520"/>
      <c r="S17" s="520"/>
      <c r="T17" s="520"/>
      <c r="U17" s="432"/>
    </row>
    <row r="18" spans="1:21" x14ac:dyDescent="0.35">
      <c r="C18" s="427" t="s">
        <v>195</v>
      </c>
      <c r="D18" s="15"/>
      <c r="E18" s="25">
        <f>E17/$E$19</f>
        <v>11800</v>
      </c>
      <c r="F18" s="25">
        <f>F17/$E$19</f>
        <v>8469.7717077159923</v>
      </c>
      <c r="G18" s="25">
        <f t="shared" ref="G18:H18" si="3">G17/$E$19</f>
        <v>6717.5796217647976</v>
      </c>
      <c r="H18" s="25">
        <f t="shared" si="3"/>
        <v>6079.4095576971422</v>
      </c>
      <c r="I18" s="17"/>
      <c r="J18" s="517"/>
      <c r="K18" s="517"/>
      <c r="L18" s="517"/>
      <c r="M18" s="517"/>
      <c r="N18" s="517"/>
      <c r="O18" s="517"/>
      <c r="P18" s="517"/>
      <c r="Q18" s="517"/>
      <c r="R18" s="517"/>
      <c r="S18" s="517"/>
      <c r="T18" s="517"/>
      <c r="U18" s="456"/>
    </row>
    <row r="19" spans="1:21" x14ac:dyDescent="0.35">
      <c r="C19" s="16" t="s">
        <v>100</v>
      </c>
      <c r="D19" s="15"/>
      <c r="E19" s="25">
        <v>425</v>
      </c>
      <c r="F19" s="32" t="s">
        <v>134</v>
      </c>
      <c r="G19" s="27"/>
      <c r="H19" s="27"/>
      <c r="I19" s="17"/>
      <c r="J19" s="517"/>
      <c r="K19" s="517"/>
      <c r="L19" s="517"/>
      <c r="M19" s="517"/>
      <c r="N19" s="517"/>
      <c r="O19" s="517"/>
      <c r="P19" s="517"/>
      <c r="Q19" s="517"/>
      <c r="R19" s="517"/>
      <c r="S19" s="517"/>
      <c r="T19" s="517"/>
      <c r="U19" s="456"/>
    </row>
    <row r="20" spans="1:21" x14ac:dyDescent="0.35">
      <c r="C20" s="16"/>
      <c r="F20" s="33"/>
      <c r="J20" s="517"/>
      <c r="K20" s="517"/>
      <c r="L20" s="517"/>
      <c r="M20" s="517"/>
      <c r="N20" s="517"/>
      <c r="O20" s="517"/>
      <c r="P20" s="517"/>
      <c r="Q20" s="517"/>
      <c r="R20" s="517"/>
      <c r="S20" s="517"/>
      <c r="T20" s="517"/>
      <c r="U20" s="456"/>
    </row>
    <row r="21" spans="1:21" x14ac:dyDescent="0.35">
      <c r="F21" s="13"/>
      <c r="G21" s="13"/>
      <c r="H21" s="13"/>
      <c r="I21" s="13"/>
      <c r="J21" s="517"/>
      <c r="K21" s="517"/>
      <c r="L21" s="517"/>
      <c r="M21" s="517"/>
      <c r="N21" s="517"/>
      <c r="O21" s="517"/>
      <c r="P21" s="517"/>
      <c r="Q21" s="517"/>
      <c r="R21" s="517"/>
      <c r="S21" s="517"/>
      <c r="T21" s="517"/>
      <c r="U21" s="456"/>
    </row>
    <row r="22" spans="1:21" x14ac:dyDescent="0.35">
      <c r="A22" s="57" t="s">
        <v>29</v>
      </c>
      <c r="B22" s="57" t="s">
        <v>57</v>
      </c>
      <c r="C22" s="64"/>
      <c r="D22" s="64"/>
      <c r="E22" s="64"/>
      <c r="F22" s="64"/>
      <c r="G22" s="64"/>
      <c r="H22" s="64"/>
      <c r="I22" s="517"/>
      <c r="J22" s="517"/>
      <c r="K22" s="517"/>
      <c r="L22" s="517"/>
      <c r="M22" s="517"/>
      <c r="N22" s="517"/>
      <c r="O22" s="517"/>
      <c r="P22" s="517"/>
      <c r="Q22" s="517"/>
      <c r="R22" s="517"/>
      <c r="S22" s="517"/>
      <c r="T22" s="456"/>
    </row>
    <row r="23" spans="1:21" x14ac:dyDescent="0.35">
      <c r="A23" s="64"/>
      <c r="B23" s="64"/>
      <c r="C23" s="64"/>
      <c r="D23" s="64"/>
      <c r="E23" s="61" t="s">
        <v>73</v>
      </c>
      <c r="F23" s="61" t="s">
        <v>95</v>
      </c>
      <c r="G23" s="61" t="s">
        <v>97</v>
      </c>
      <c r="H23" s="61" t="s">
        <v>96</v>
      </c>
      <c r="I23" s="517"/>
      <c r="J23" s="517"/>
      <c r="K23" s="517"/>
      <c r="L23" s="517"/>
      <c r="M23" s="517"/>
      <c r="N23" s="517"/>
      <c r="O23" s="517"/>
      <c r="P23" s="517"/>
      <c r="Q23" s="517"/>
      <c r="R23" s="517"/>
      <c r="S23" s="517"/>
      <c r="T23" s="456"/>
    </row>
    <row r="24" spans="1:21" s="69" customFormat="1" x14ac:dyDescent="0.35">
      <c r="C24" s="69" t="s">
        <v>479</v>
      </c>
      <c r="E24" s="110">
        <f>E17</f>
        <v>5015000</v>
      </c>
      <c r="F24" s="426">
        <f t="shared" ref="F24:H24" si="4">F17</f>
        <v>3599652.9757792968</v>
      </c>
      <c r="G24" s="426">
        <f t="shared" si="4"/>
        <v>2854971.3392500388</v>
      </c>
      <c r="H24" s="426">
        <f t="shared" si="4"/>
        <v>2583749.0620212853</v>
      </c>
      <c r="I24" s="453"/>
      <c r="J24" s="453"/>
      <c r="K24" s="453"/>
      <c r="L24" s="456"/>
      <c r="M24" s="456"/>
      <c r="N24" s="456"/>
      <c r="O24" s="456"/>
      <c r="P24" s="456"/>
      <c r="Q24" s="456"/>
      <c r="R24" s="456"/>
      <c r="S24" s="456"/>
      <c r="T24" s="456"/>
    </row>
    <row r="25" spans="1:21" x14ac:dyDescent="0.35">
      <c r="A25" s="64"/>
      <c r="B25" s="64"/>
      <c r="C25" s="64" t="s">
        <v>121</v>
      </c>
      <c r="D25" s="64"/>
      <c r="E25" s="200">
        <v>0.05</v>
      </c>
      <c r="F25" s="200">
        <v>0.05</v>
      </c>
      <c r="G25" s="200">
        <v>0.05</v>
      </c>
      <c r="H25" s="200">
        <v>0.05</v>
      </c>
      <c r="I25" s="456"/>
      <c r="J25" s="456"/>
      <c r="K25" s="456"/>
      <c r="L25" s="456"/>
      <c r="M25" s="456"/>
      <c r="N25" s="456"/>
      <c r="O25" s="456"/>
      <c r="P25" s="456"/>
      <c r="Q25" s="456"/>
      <c r="R25" s="456"/>
      <c r="S25" s="456"/>
      <c r="T25" s="456"/>
    </row>
    <row r="26" spans="1:21" s="69" customFormat="1" x14ac:dyDescent="0.35">
      <c r="E26" s="106"/>
      <c r="F26" s="106"/>
      <c r="G26" s="106"/>
      <c r="H26" s="106"/>
      <c r="I26" s="456"/>
      <c r="J26" s="456"/>
      <c r="K26" s="456"/>
      <c r="L26" s="456"/>
      <c r="M26" s="456"/>
      <c r="N26" s="456"/>
      <c r="O26" s="456"/>
      <c r="P26" s="456"/>
      <c r="Q26" s="456"/>
      <c r="R26" s="456"/>
      <c r="S26" s="456"/>
      <c r="T26" s="456"/>
    </row>
    <row r="27" spans="1:21" s="58" customFormat="1" x14ac:dyDescent="0.35">
      <c r="C27" s="109" t="s">
        <v>70</v>
      </c>
      <c r="D27" s="24"/>
      <c r="E27" s="111">
        <f>E25*E24</f>
        <v>250750</v>
      </c>
      <c r="F27" s="111">
        <f t="shared" ref="F27" si="5">F25*F24</f>
        <v>179982.64878896484</v>
      </c>
      <c r="G27" s="111">
        <f>G25*G24</f>
        <v>142748.56696250194</v>
      </c>
      <c r="H27" s="111">
        <f>H25*H24</f>
        <v>129187.45310106427</v>
      </c>
    </row>
    <row r="28" spans="1:21" x14ac:dyDescent="0.35">
      <c r="A28" s="64"/>
      <c r="B28" s="64"/>
      <c r="C28" s="427"/>
      <c r="D28" s="65"/>
      <c r="E28" s="47"/>
      <c r="F28" s="464"/>
      <c r="G28" s="464"/>
      <c r="H28" s="464"/>
      <c r="N28"/>
      <c r="O28"/>
      <c r="P28" s="11"/>
      <c r="Q28" s="11"/>
    </row>
    <row r="29" spans="1:21" x14ac:dyDescent="0.35">
      <c r="A29" s="64"/>
      <c r="B29" s="64"/>
      <c r="C29" s="60"/>
      <c r="D29" s="65"/>
      <c r="E29" s="25"/>
      <c r="F29" s="47"/>
      <c r="G29" s="47"/>
      <c r="H29" s="47"/>
      <c r="N29"/>
      <c r="O29"/>
      <c r="P29" s="11"/>
      <c r="Q29" s="11"/>
    </row>
    <row r="30" spans="1:21" x14ac:dyDescent="0.35">
      <c r="A30" s="64"/>
      <c r="B30" s="64"/>
      <c r="C30" s="60"/>
      <c r="D30" s="65"/>
      <c r="E30" s="71"/>
      <c r="F30" s="25"/>
      <c r="G30" s="47"/>
      <c r="H30" s="47"/>
      <c r="O30"/>
      <c r="Q30" s="11"/>
    </row>
    <row r="31" spans="1:21" x14ac:dyDescent="0.35">
      <c r="O31"/>
      <c r="Q31" s="11"/>
    </row>
    <row r="32" spans="1:21" s="277" customFormat="1" x14ac:dyDescent="0.35">
      <c r="A32" s="205" t="s">
        <v>131</v>
      </c>
    </row>
    <row r="33" spans="1:2" s="277" customFormat="1" x14ac:dyDescent="0.35">
      <c r="A33" s="277" t="s">
        <v>28</v>
      </c>
      <c r="B33" s="277" t="s">
        <v>480</v>
      </c>
    </row>
    <row r="34" spans="1:2" s="688" customFormat="1" x14ac:dyDescent="0.35">
      <c r="A34" s="688" t="s">
        <v>29</v>
      </c>
      <c r="B34" s="688" t="s">
        <v>481</v>
      </c>
    </row>
    <row r="35" spans="1:2" s="277" customFormat="1" x14ac:dyDescent="0.35"/>
    <row r="36" spans="1:2" s="277" customFormat="1" x14ac:dyDescent="0.35"/>
  </sheetData>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zoomScale="90" zoomScaleNormal="90" workbookViewId="0">
      <selection activeCell="B44" sqref="B44"/>
    </sheetView>
  </sheetViews>
  <sheetFormatPr defaultColWidth="9.08984375" defaultRowHeight="14.5" x14ac:dyDescent="0.35"/>
  <cols>
    <col min="1" max="1" width="4.453125" style="69" customWidth="1"/>
    <col min="2" max="3" width="4.08984375" style="69" customWidth="1"/>
    <col min="4" max="4" width="4.54296875" style="69" customWidth="1"/>
    <col min="5" max="5" width="65.90625" style="69" customWidth="1"/>
    <col min="6" max="6" width="31.36328125" style="69" customWidth="1"/>
    <col min="7" max="7" width="17.90625" style="69" customWidth="1"/>
    <col min="8" max="8" width="18.6328125" style="69" customWidth="1"/>
    <col min="9" max="9" width="19.6328125" style="69" customWidth="1"/>
    <col min="10" max="10" width="24.90625" style="69" customWidth="1"/>
    <col min="11" max="11" width="24.08984375" style="69" bestFit="1" customWidth="1"/>
    <col min="12" max="12" width="21.453125" style="69" customWidth="1"/>
    <col min="13" max="13" width="16.6328125" style="69" customWidth="1"/>
    <col min="14" max="17" width="9.08984375" style="69"/>
    <col min="18" max="19" width="9" style="69" customWidth="1"/>
    <col min="20" max="20" width="9.08984375" style="69"/>
    <col min="21" max="21" width="9.6328125" style="69" customWidth="1"/>
    <col min="22" max="22" width="12.54296875" style="69" customWidth="1"/>
    <col min="23" max="23" width="8.36328125" style="69" customWidth="1"/>
    <col min="24" max="24" width="9.08984375" style="69"/>
    <col min="25" max="25" width="17.36328125" style="69" customWidth="1"/>
    <col min="26" max="27" width="9.08984375" style="69"/>
    <col min="28" max="28" width="11.6328125" style="69" customWidth="1"/>
    <col min="29" max="16384" width="9.08984375" style="69"/>
  </cols>
  <sheetData>
    <row r="1" spans="1:25" x14ac:dyDescent="0.35">
      <c r="A1" s="457" t="s">
        <v>355</v>
      </c>
    </row>
    <row r="3" spans="1:25" x14ac:dyDescent="0.35">
      <c r="A3" s="57" t="s">
        <v>98</v>
      </c>
      <c r="F3" s="69">
        <v>1</v>
      </c>
      <c r="G3" s="69">
        <v>10</v>
      </c>
      <c r="H3" s="69">
        <v>50</v>
      </c>
      <c r="I3" s="69">
        <v>100</v>
      </c>
    </row>
    <row r="4" spans="1:25" x14ac:dyDescent="0.35">
      <c r="A4" s="57"/>
      <c r="B4" s="798" t="s">
        <v>32</v>
      </c>
      <c r="C4" s="798"/>
      <c r="D4" s="222"/>
      <c r="E4" s="566" t="s">
        <v>33</v>
      </c>
      <c r="F4" s="279">
        <f>F3*F30</f>
        <v>70060</v>
      </c>
      <c r="G4" s="279">
        <f>G3*G30</f>
        <v>590839.5402590991</v>
      </c>
      <c r="H4" s="279">
        <f>H3*H30</f>
        <v>2622499.2287331438</v>
      </c>
      <c r="I4" s="279">
        <f>I3*I30</f>
        <v>4982748.5345929731</v>
      </c>
    </row>
    <row r="5" spans="1:25" x14ac:dyDescent="0.35">
      <c r="B5" s="207" t="s">
        <v>34</v>
      </c>
      <c r="C5" s="207"/>
      <c r="D5" s="207"/>
      <c r="E5" s="567" t="s">
        <v>38</v>
      </c>
      <c r="F5" s="279">
        <f>F3*F31</f>
        <v>300000</v>
      </c>
      <c r="G5" s="279">
        <f>G3*G31</f>
        <v>2530000.8860652265</v>
      </c>
      <c r="H5" s="279">
        <f>H3*H31</f>
        <v>11229656.988580404</v>
      </c>
      <c r="I5" s="279">
        <f>I3*I31</f>
        <v>21336348.278302766</v>
      </c>
    </row>
    <row r="6" spans="1:25" x14ac:dyDescent="0.35">
      <c r="B6" s="207" t="s">
        <v>35</v>
      </c>
      <c r="C6" s="207"/>
      <c r="D6" s="207"/>
      <c r="E6" s="567" t="s">
        <v>40</v>
      </c>
      <c r="F6" s="279">
        <f>F3*F32</f>
        <v>200000</v>
      </c>
      <c r="G6" s="279">
        <f>G3*G32</f>
        <v>1686667.2573768175</v>
      </c>
      <c r="H6" s="279">
        <f>H3*H32</f>
        <v>7486437.9923869362</v>
      </c>
      <c r="I6" s="279">
        <f>I3*I32</f>
        <v>14224232.185535176</v>
      </c>
    </row>
    <row r="7" spans="1:25" x14ac:dyDescent="0.35">
      <c r="B7" s="207" t="s">
        <v>36</v>
      </c>
      <c r="C7" s="207"/>
      <c r="D7" s="207"/>
      <c r="E7" s="567" t="s">
        <v>42</v>
      </c>
      <c r="F7" s="279">
        <f>50000</f>
        <v>50000</v>
      </c>
      <c r="G7" s="279">
        <f>50000*G3</f>
        <v>500000</v>
      </c>
      <c r="H7" s="279">
        <f>50000*H3</f>
        <v>2500000</v>
      </c>
      <c r="I7" s="279">
        <f>50000*I3</f>
        <v>5000000</v>
      </c>
    </row>
    <row r="8" spans="1:25" x14ac:dyDescent="0.35">
      <c r="B8" s="207" t="s">
        <v>39</v>
      </c>
      <c r="C8" s="207"/>
      <c r="D8" s="207"/>
      <c r="E8" s="567" t="s">
        <v>464</v>
      </c>
      <c r="F8" s="279">
        <f>F29*F3</f>
        <v>400000</v>
      </c>
      <c r="G8" s="279">
        <f t="shared" ref="G8:I8" si="0">G29*G3</f>
        <v>2818752.1980493842</v>
      </c>
      <c r="H8" s="279">
        <f t="shared" si="0"/>
        <v>11035227.713900322</v>
      </c>
      <c r="I8" s="279">
        <f t="shared" si="0"/>
        <v>19863409.88502058</v>
      </c>
    </row>
    <row r="9" spans="1:25" x14ac:dyDescent="0.35">
      <c r="B9" s="212" t="s">
        <v>41</v>
      </c>
      <c r="C9" s="212"/>
      <c r="D9" s="212"/>
      <c r="E9" s="568" t="s">
        <v>58</v>
      </c>
      <c r="F9" s="279">
        <f>SUM(F4:F8)*20%</f>
        <v>204012</v>
      </c>
      <c r="G9" s="279">
        <f t="shared" ref="G9:I9" si="1">SUM(G4:G8)*20%</f>
        <v>1625251.9763501054</v>
      </c>
      <c r="H9" s="279">
        <f t="shared" si="1"/>
        <v>6974764.3847201616</v>
      </c>
      <c r="I9" s="279">
        <f t="shared" si="1"/>
        <v>13081347.776690299</v>
      </c>
    </row>
    <row r="10" spans="1:25" x14ac:dyDescent="0.35">
      <c r="B10" s="207" t="s">
        <v>43</v>
      </c>
      <c r="C10" s="207"/>
      <c r="D10" s="207"/>
      <c r="E10" s="567" t="s">
        <v>122</v>
      </c>
      <c r="F10" s="279">
        <v>100000</v>
      </c>
      <c r="G10" s="220">
        <f>50000*G3</f>
        <v>500000</v>
      </c>
      <c r="H10" s="220">
        <f>40000*H3</f>
        <v>2000000</v>
      </c>
      <c r="I10" s="220">
        <f>30000*I3</f>
        <v>3000000</v>
      </c>
    </row>
    <row r="11" spans="1:25" x14ac:dyDescent="0.35">
      <c r="B11" s="207"/>
      <c r="C11" s="207"/>
      <c r="D11" s="207"/>
      <c r="E11" s="207"/>
      <c r="F11" s="224"/>
      <c r="G11" s="224"/>
      <c r="H11" s="224"/>
      <c r="I11" s="224"/>
    </row>
    <row r="12" spans="1:25" x14ac:dyDescent="0.35">
      <c r="B12" s="207"/>
      <c r="C12" s="207"/>
      <c r="D12" s="207"/>
      <c r="E12" s="223" t="s">
        <v>69</v>
      </c>
      <c r="F12" s="224">
        <f>SUM(F4:F10)</f>
        <v>1324072</v>
      </c>
      <c r="G12" s="224">
        <f>SUM(G4:G10)</f>
        <v>10251511.858100632</v>
      </c>
      <c r="H12" s="224">
        <f>SUM(H4:H10)</f>
        <v>43848586.308320969</v>
      </c>
      <c r="I12" s="224">
        <f>SUM(I4:I10)</f>
        <v>81488086.660141796</v>
      </c>
    </row>
    <row r="13" spans="1:25" x14ac:dyDescent="0.35">
      <c r="B13" s="72"/>
      <c r="C13" s="72"/>
      <c r="D13" s="72"/>
      <c r="E13" s="73" t="s">
        <v>102</v>
      </c>
      <c r="F13" s="225">
        <f>F12/F3</f>
        <v>1324072</v>
      </c>
      <c r="G13" s="225">
        <f>G12/G3</f>
        <v>1025151.1858100633</v>
      </c>
      <c r="H13" s="225">
        <f>H12/H3</f>
        <v>876971.72616641934</v>
      </c>
      <c r="I13" s="225">
        <f>I12/I3</f>
        <v>814880.86660141801</v>
      </c>
    </row>
    <row r="14" spans="1:25" s="695" customFormat="1" x14ac:dyDescent="0.35">
      <c r="B14" s="517"/>
      <c r="C14" s="517"/>
      <c r="D14" s="517"/>
      <c r="E14" s="704" t="s">
        <v>473</v>
      </c>
      <c r="F14" s="224">
        <f>F13/$F$16</f>
        <v>1324.0719999999999</v>
      </c>
      <c r="G14" s="224">
        <f t="shared" ref="G14:I14" si="2">G13/$F$16</f>
        <v>1025.1511858100632</v>
      </c>
      <c r="H14" s="224">
        <f t="shared" si="2"/>
        <v>876.97172616641933</v>
      </c>
      <c r="I14" s="224">
        <f t="shared" si="2"/>
        <v>814.88086660141801</v>
      </c>
    </row>
    <row r="15" spans="1:25" x14ac:dyDescent="0.35">
      <c r="H15" s="43"/>
      <c r="I15" s="40"/>
      <c r="L15" s="60"/>
      <c r="M15" s="60"/>
      <c r="N15" s="60"/>
      <c r="O15" s="60"/>
      <c r="P15" s="60"/>
      <c r="Q15" s="60"/>
      <c r="R15" s="60"/>
      <c r="S15" s="60"/>
      <c r="T15" s="60"/>
      <c r="U15" s="60"/>
      <c r="V15" s="60"/>
    </row>
    <row r="16" spans="1:25" s="695" customFormat="1" x14ac:dyDescent="0.35">
      <c r="A16" s="695" t="s">
        <v>469</v>
      </c>
      <c r="F16" s="494">
        <v>1000</v>
      </c>
      <c r="G16" s="695" t="s">
        <v>123</v>
      </c>
      <c r="I16" s="413"/>
      <c r="J16" s="494"/>
      <c r="O16" s="519"/>
      <c r="P16" s="519"/>
      <c r="Q16" s="519"/>
      <c r="R16" s="519"/>
      <c r="S16" s="519"/>
      <c r="T16" s="519"/>
      <c r="U16" s="519"/>
      <c r="V16" s="519"/>
      <c r="W16" s="519"/>
      <c r="X16" s="519"/>
      <c r="Y16" s="519"/>
    </row>
    <row r="17" spans="1:25" s="695" customFormat="1" x14ac:dyDescent="0.35">
      <c r="F17" s="494"/>
      <c r="I17" s="413"/>
      <c r="J17" s="494"/>
      <c r="O17" s="519"/>
      <c r="P17" s="519"/>
      <c r="Q17" s="519"/>
      <c r="R17" s="519"/>
      <c r="S17" s="519"/>
      <c r="T17" s="519"/>
      <c r="U17" s="519"/>
      <c r="V17" s="519"/>
      <c r="W17" s="519"/>
      <c r="X17" s="519"/>
      <c r="Y17" s="519"/>
    </row>
    <row r="18" spans="1:25" x14ac:dyDescent="0.35">
      <c r="A18" s="657" t="s">
        <v>470</v>
      </c>
      <c r="J18" s="48"/>
      <c r="O18" s="60"/>
      <c r="P18" s="60"/>
      <c r="Q18" s="60"/>
      <c r="R18" s="60"/>
      <c r="S18" s="60"/>
      <c r="T18" s="60"/>
      <c r="U18" s="60"/>
      <c r="V18" s="60"/>
      <c r="W18" s="60"/>
      <c r="X18" s="60"/>
      <c r="Y18" s="60"/>
    </row>
    <row r="19" spans="1:25" x14ac:dyDescent="0.35">
      <c r="B19" s="695" t="s">
        <v>31</v>
      </c>
      <c r="C19" s="695"/>
      <c r="D19" s="695"/>
      <c r="F19" s="433" t="s">
        <v>73</v>
      </c>
      <c r="G19" s="433" t="s">
        <v>95</v>
      </c>
      <c r="H19" s="433" t="s">
        <v>97</v>
      </c>
      <c r="I19" s="433" t="s">
        <v>96</v>
      </c>
      <c r="J19" s="433" t="s">
        <v>465</v>
      </c>
      <c r="M19" s="60"/>
      <c r="N19" s="60"/>
      <c r="O19" s="60"/>
      <c r="P19" s="60"/>
      <c r="Q19" s="60"/>
      <c r="R19" s="60"/>
      <c r="S19" s="60"/>
      <c r="T19" s="60"/>
      <c r="U19" s="60"/>
      <c r="V19" s="60"/>
      <c r="W19" s="60"/>
    </row>
    <row r="20" spans="1:25" x14ac:dyDescent="0.35">
      <c r="B20" s="695"/>
      <c r="C20" s="695" t="s">
        <v>466</v>
      </c>
      <c r="D20" s="695"/>
      <c r="F20" s="82">
        <v>400</v>
      </c>
      <c r="G20" s="494">
        <v>281.87521980493841</v>
      </c>
      <c r="H20" s="494">
        <v>220.70455427800647</v>
      </c>
      <c r="I20" s="494">
        <v>198.63409885020579</v>
      </c>
      <c r="J20" s="695">
        <v>0.9</v>
      </c>
      <c r="M20" s="60"/>
      <c r="N20" s="60"/>
      <c r="O20" s="60"/>
      <c r="P20" s="60"/>
      <c r="Q20" s="60"/>
      <c r="R20" s="60"/>
      <c r="S20" s="60"/>
      <c r="T20" s="60"/>
      <c r="U20" s="60"/>
      <c r="V20" s="60"/>
      <c r="W20" s="60"/>
    </row>
    <row r="21" spans="1:25" x14ac:dyDescent="0.35">
      <c r="B21" s="695"/>
      <c r="C21" s="695" t="s">
        <v>33</v>
      </c>
      <c r="D21" s="695"/>
      <c r="F21" s="494">
        <v>70.06</v>
      </c>
      <c r="G21" s="494">
        <v>59.083954025909918</v>
      </c>
      <c r="H21" s="494">
        <v>52.449984574662878</v>
      </c>
      <c r="I21" s="494">
        <v>49.82748534592973</v>
      </c>
      <c r="J21" s="695">
        <v>0.95</v>
      </c>
      <c r="M21" s="60"/>
      <c r="N21" s="60"/>
      <c r="O21" s="60"/>
      <c r="P21" s="60"/>
      <c r="Q21" s="60"/>
      <c r="R21" s="60"/>
      <c r="S21" s="60"/>
      <c r="T21" s="60"/>
      <c r="U21" s="60"/>
      <c r="V21" s="60"/>
      <c r="W21" s="60"/>
    </row>
    <row r="22" spans="1:25" x14ac:dyDescent="0.35">
      <c r="B22" s="695"/>
      <c r="C22" s="695" t="s">
        <v>38</v>
      </c>
      <c r="D22" s="695"/>
      <c r="F22" s="494">
        <v>300</v>
      </c>
      <c r="G22" s="494">
        <v>253.00008860652264</v>
      </c>
      <c r="H22" s="494">
        <v>224.59313977160809</v>
      </c>
      <c r="I22" s="494">
        <v>213.36348278302765</v>
      </c>
      <c r="J22" s="695">
        <v>0.95</v>
      </c>
      <c r="M22" s="60"/>
      <c r="N22" s="60"/>
      <c r="O22" s="60"/>
      <c r="P22" s="60"/>
      <c r="Q22" s="60"/>
      <c r="R22" s="60"/>
      <c r="S22" s="60"/>
      <c r="T22" s="60"/>
      <c r="U22" s="60"/>
      <c r="V22" s="60"/>
      <c r="W22" s="60"/>
    </row>
    <row r="23" spans="1:25" x14ac:dyDescent="0.35">
      <c r="B23" s="695"/>
      <c r="C23" s="695" t="s">
        <v>467</v>
      </c>
      <c r="D23" s="695"/>
      <c r="F23" s="494">
        <v>200</v>
      </c>
      <c r="G23" s="494">
        <v>168.66672573768176</v>
      </c>
      <c r="H23" s="494">
        <v>149.72875984773873</v>
      </c>
      <c r="I23" s="494">
        <v>142.24232185535178</v>
      </c>
      <c r="J23" s="695">
        <v>0.95</v>
      </c>
      <c r="K23" s="57"/>
      <c r="M23" s="60"/>
      <c r="N23" s="60"/>
      <c r="O23" s="60"/>
      <c r="P23" s="60"/>
      <c r="Q23" s="60"/>
      <c r="R23" s="60"/>
      <c r="S23" s="60"/>
      <c r="T23" s="60"/>
      <c r="U23" s="60"/>
      <c r="V23" s="60"/>
      <c r="W23" s="60"/>
    </row>
    <row r="24" spans="1:25" x14ac:dyDescent="0.35">
      <c r="B24" s="695"/>
      <c r="C24" s="695"/>
      <c r="D24" s="695"/>
      <c r="F24" s="494"/>
      <c r="G24" s="695"/>
      <c r="H24" s="695"/>
      <c r="I24" s="695"/>
      <c r="J24" s="695"/>
      <c r="L24" s="63"/>
      <c r="M24" s="60"/>
      <c r="N24" s="60"/>
      <c r="O24" s="60"/>
      <c r="P24" s="60"/>
      <c r="Q24" s="60"/>
      <c r="R24" s="60"/>
      <c r="S24" s="60"/>
      <c r="T24" s="60"/>
      <c r="U24" s="60"/>
      <c r="V24" s="60"/>
      <c r="W24" s="60"/>
    </row>
    <row r="25" spans="1:25" x14ac:dyDescent="0.35">
      <c r="B25" s="695"/>
      <c r="C25" s="305" t="s">
        <v>468</v>
      </c>
      <c r="D25" s="305"/>
      <c r="E25" s="305"/>
      <c r="F25" s="308">
        <f>SUM(F20:F23)</f>
        <v>970.06</v>
      </c>
      <c r="G25" s="308">
        <f t="shared" ref="G25:I25" si="3">SUM(G20:G23)</f>
        <v>762.62598817505273</v>
      </c>
      <c r="H25" s="308">
        <f t="shared" si="3"/>
        <v>647.47643847201618</v>
      </c>
      <c r="I25" s="308">
        <f t="shared" si="3"/>
        <v>604.06738883451487</v>
      </c>
      <c r="J25" s="695"/>
      <c r="M25" s="60"/>
      <c r="N25" s="60"/>
      <c r="O25" s="60"/>
      <c r="P25" s="60"/>
      <c r="Q25" s="60"/>
      <c r="R25" s="60"/>
      <c r="S25" s="60"/>
      <c r="T25" s="60"/>
      <c r="U25" s="60"/>
      <c r="V25" s="60"/>
      <c r="W25" s="60"/>
    </row>
    <row r="26" spans="1:25" x14ac:dyDescent="0.35">
      <c r="E26" s="431"/>
      <c r="F26" s="516"/>
      <c r="G26" s="62"/>
      <c r="H26" s="565"/>
      <c r="I26" s="434"/>
      <c r="J26" s="55"/>
      <c r="K26" s="466"/>
      <c r="L26" s="695"/>
      <c r="O26" s="60"/>
      <c r="P26" s="60"/>
      <c r="Q26" s="60"/>
      <c r="R26" s="60"/>
      <c r="S26" s="60"/>
      <c r="T26" s="60"/>
      <c r="U26" s="60"/>
      <c r="V26" s="60"/>
      <c r="W26" s="60"/>
      <c r="X26" s="60"/>
      <c r="Y26" s="60"/>
    </row>
    <row r="27" spans="1:25" x14ac:dyDescent="0.35">
      <c r="A27" s="657" t="s">
        <v>471</v>
      </c>
      <c r="E27" s="431"/>
      <c r="F27" s="516"/>
      <c r="G27" s="62"/>
      <c r="H27" s="565"/>
      <c r="I27" s="434"/>
      <c r="J27" s="55"/>
      <c r="K27" s="466"/>
      <c r="L27" s="695"/>
      <c r="O27" s="60"/>
      <c r="P27" s="60"/>
      <c r="Q27" s="60"/>
      <c r="R27" s="60"/>
      <c r="S27" s="60"/>
      <c r="T27" s="60"/>
      <c r="U27" s="60"/>
      <c r="V27" s="60"/>
      <c r="W27" s="60"/>
      <c r="X27" s="60"/>
      <c r="Y27" s="60"/>
    </row>
    <row r="28" spans="1:25" x14ac:dyDescent="0.35">
      <c r="B28" s="695" t="s">
        <v>31</v>
      </c>
      <c r="C28" s="695"/>
      <c r="D28" s="695"/>
      <c r="E28" s="695"/>
      <c r="F28" s="433" t="s">
        <v>73</v>
      </c>
      <c r="G28" s="433" t="s">
        <v>95</v>
      </c>
      <c r="H28" s="433" t="s">
        <v>97</v>
      </c>
      <c r="I28" s="433" t="s">
        <v>96</v>
      </c>
      <c r="J28" s="433"/>
      <c r="K28" s="466"/>
      <c r="L28" s="695"/>
      <c r="O28" s="60"/>
      <c r="P28" s="60"/>
      <c r="Q28" s="60"/>
      <c r="R28" s="60"/>
      <c r="S28" s="60"/>
      <c r="T28" s="60"/>
      <c r="U28" s="60"/>
      <c r="V28" s="60"/>
      <c r="W28" s="60"/>
      <c r="X28" s="60"/>
      <c r="Y28" s="60"/>
    </row>
    <row r="29" spans="1:25" x14ac:dyDescent="0.35">
      <c r="B29" s="695"/>
      <c r="C29" s="695" t="s">
        <v>466</v>
      </c>
      <c r="D29" s="695"/>
      <c r="E29" s="695"/>
      <c r="F29" s="82">
        <f>$F$16*F20</f>
        <v>400000</v>
      </c>
      <c r="G29" s="82">
        <f t="shared" ref="G29:I29" si="4">$F$16*G20</f>
        <v>281875.21980493842</v>
      </c>
      <c r="H29" s="82">
        <f t="shared" si="4"/>
        <v>220704.55427800646</v>
      </c>
      <c r="I29" s="82">
        <f t="shared" si="4"/>
        <v>198634.0988502058</v>
      </c>
      <c r="J29" s="695"/>
      <c r="K29" s="466"/>
      <c r="L29" s="695"/>
    </row>
    <row r="30" spans="1:25" x14ac:dyDescent="0.35">
      <c r="B30" s="695"/>
      <c r="C30" s="695" t="s">
        <v>33</v>
      </c>
      <c r="D30" s="695"/>
      <c r="E30" s="695"/>
      <c r="F30" s="82">
        <f t="shared" ref="F30:I32" si="5">$F$16*F21</f>
        <v>70060</v>
      </c>
      <c r="G30" s="82">
        <f t="shared" si="5"/>
        <v>59083.954025909916</v>
      </c>
      <c r="H30" s="82">
        <f t="shared" si="5"/>
        <v>52449.984574662878</v>
      </c>
      <c r="I30" s="82">
        <f t="shared" si="5"/>
        <v>49827.48534592973</v>
      </c>
      <c r="J30" s="695"/>
      <c r="K30" s="466"/>
    </row>
    <row r="31" spans="1:25" x14ac:dyDescent="0.35">
      <c r="B31" s="695"/>
      <c r="C31" s="695" t="s">
        <v>38</v>
      </c>
      <c r="D31" s="695"/>
      <c r="E31" s="695"/>
      <c r="F31" s="82">
        <f t="shared" si="5"/>
        <v>300000</v>
      </c>
      <c r="G31" s="82">
        <f t="shared" si="5"/>
        <v>253000.08860652265</v>
      </c>
      <c r="H31" s="82">
        <f t="shared" si="5"/>
        <v>224593.13977160808</v>
      </c>
      <c r="I31" s="82">
        <f t="shared" si="5"/>
        <v>213363.48278302766</v>
      </c>
      <c r="J31" s="695"/>
      <c r="K31" s="466"/>
    </row>
    <row r="32" spans="1:25" x14ac:dyDescent="0.35">
      <c r="B32" s="695"/>
      <c r="C32" s="695" t="s">
        <v>467</v>
      </c>
      <c r="D32" s="695"/>
      <c r="E32" s="695"/>
      <c r="F32" s="82">
        <f t="shared" si="5"/>
        <v>200000</v>
      </c>
      <c r="G32" s="82">
        <f t="shared" si="5"/>
        <v>168666.72573768176</v>
      </c>
      <c r="H32" s="82">
        <f t="shared" si="5"/>
        <v>149728.75984773872</v>
      </c>
      <c r="I32" s="82">
        <f t="shared" si="5"/>
        <v>142242.32185535177</v>
      </c>
      <c r="J32" s="695"/>
      <c r="K32" s="466"/>
    </row>
    <row r="33" spans="1:15" x14ac:dyDescent="0.35">
      <c r="B33" s="695"/>
      <c r="C33" s="695"/>
      <c r="D33" s="695"/>
      <c r="E33" s="695"/>
      <c r="F33" s="494"/>
      <c r="G33" s="695"/>
      <c r="H33" s="695"/>
      <c r="I33" s="695"/>
      <c r="J33" s="695"/>
      <c r="K33" s="466"/>
    </row>
    <row r="34" spans="1:15" x14ac:dyDescent="0.35">
      <c r="B34" s="695"/>
      <c r="C34" s="305" t="s">
        <v>468</v>
      </c>
      <c r="D34" s="305"/>
      <c r="E34" s="305"/>
      <c r="F34" s="308">
        <f>SUM(F29:F32)</f>
        <v>970060</v>
      </c>
      <c r="G34" s="308">
        <f t="shared" ref="G34:I34" si="6">SUM(G29:G32)</f>
        <v>762625.98817505268</v>
      </c>
      <c r="H34" s="308">
        <f t="shared" si="6"/>
        <v>647476.43847201625</v>
      </c>
      <c r="I34" s="308">
        <f t="shared" si="6"/>
        <v>604067.388834515</v>
      </c>
      <c r="J34" s="695"/>
      <c r="K34" s="466"/>
    </row>
    <row r="35" spans="1:15" x14ac:dyDescent="0.35">
      <c r="E35" s="431"/>
      <c r="F35" s="516"/>
      <c r="G35" s="62"/>
      <c r="H35" s="565"/>
      <c r="I35" s="434"/>
      <c r="J35" s="112"/>
      <c r="K35" s="466"/>
      <c r="L35" s="695"/>
    </row>
    <row r="36" spans="1:15" x14ac:dyDescent="0.35">
      <c r="E36" s="431"/>
      <c r="F36" s="516"/>
      <c r="G36" s="62"/>
      <c r="H36" s="565"/>
      <c r="I36" s="434"/>
      <c r="J36" s="55"/>
      <c r="K36" s="466"/>
    </row>
    <row r="37" spans="1:15" x14ac:dyDescent="0.35">
      <c r="A37" s="657" t="s">
        <v>131</v>
      </c>
      <c r="B37" s="695"/>
      <c r="C37" s="695"/>
      <c r="D37" s="59"/>
      <c r="E37" s="76"/>
      <c r="F37" s="516"/>
      <c r="G37" s="434"/>
      <c r="H37" s="565"/>
      <c r="I37" s="434"/>
      <c r="J37" s="34"/>
      <c r="K37" s="466"/>
      <c r="L37" s="695"/>
    </row>
    <row r="38" spans="1:15" x14ac:dyDescent="0.35">
      <c r="A38" s="695" t="s">
        <v>32</v>
      </c>
      <c r="B38" s="695" t="s">
        <v>472</v>
      </c>
      <c r="C38" s="695"/>
      <c r="D38" s="59"/>
      <c r="E38" s="76"/>
      <c r="F38" s="516"/>
      <c r="G38" s="4"/>
      <c r="H38" s="565"/>
      <c r="I38" s="434"/>
      <c r="J38" s="34"/>
      <c r="K38" s="466"/>
      <c r="L38" s="695"/>
    </row>
    <row r="39" spans="1:15" x14ac:dyDescent="0.35">
      <c r="A39" s="695" t="s">
        <v>34</v>
      </c>
      <c r="B39" s="695" t="s">
        <v>472</v>
      </c>
      <c r="C39" s="695"/>
      <c r="D39" s="59"/>
      <c r="E39" s="76"/>
      <c r="F39" s="516"/>
      <c r="G39" s="4"/>
      <c r="H39" s="565"/>
      <c r="I39" s="434"/>
      <c r="J39" s="34"/>
      <c r="K39" s="466"/>
      <c r="L39" s="59"/>
    </row>
    <row r="40" spans="1:15" x14ac:dyDescent="0.35">
      <c r="A40" s="695" t="s">
        <v>35</v>
      </c>
      <c r="B40" s="695" t="s">
        <v>472</v>
      </c>
      <c r="C40" s="695"/>
      <c r="D40" s="59"/>
      <c r="E40" s="76"/>
      <c r="F40" s="516"/>
      <c r="G40" s="4"/>
      <c r="H40" s="565"/>
      <c r="I40" s="434"/>
      <c r="J40" s="34"/>
      <c r="K40" s="466"/>
      <c r="L40" s="59"/>
    </row>
    <row r="41" spans="1:15" s="455" customFormat="1" x14ac:dyDescent="0.35">
      <c r="A41" s="695" t="s">
        <v>36</v>
      </c>
      <c r="B41" s="695" t="s">
        <v>463</v>
      </c>
      <c r="C41" s="695"/>
      <c r="D41" s="465"/>
      <c r="E41" s="76"/>
      <c r="F41" s="516"/>
      <c r="G41" s="391"/>
      <c r="H41" s="565"/>
      <c r="I41" s="434"/>
      <c r="J41" s="66"/>
      <c r="K41" s="466"/>
      <c r="L41" s="695"/>
    </row>
    <row r="42" spans="1:15" s="516" customFormat="1" x14ac:dyDescent="0.35">
      <c r="A42" s="516" t="s">
        <v>39</v>
      </c>
      <c r="B42" s="516" t="s">
        <v>463</v>
      </c>
      <c r="D42" s="518"/>
      <c r="E42" s="76"/>
      <c r="G42" s="391"/>
      <c r="H42" s="565"/>
      <c r="I42" s="434"/>
      <c r="J42" s="66"/>
      <c r="K42" s="466"/>
    </row>
    <row r="43" spans="1:15" s="516" customFormat="1" x14ac:dyDescent="0.35">
      <c r="A43" s="516" t="s">
        <v>41</v>
      </c>
      <c r="B43" s="516" t="s">
        <v>474</v>
      </c>
      <c r="D43" s="518"/>
      <c r="E43" s="76"/>
      <c r="G43" s="391"/>
      <c r="H43" s="565"/>
      <c r="I43" s="434"/>
      <c r="J43" s="66"/>
      <c r="K43" s="466"/>
      <c r="L43" s="695"/>
    </row>
    <row r="44" spans="1:15" s="516" customFormat="1" x14ac:dyDescent="0.35">
      <c r="A44" s="516" t="s">
        <v>43</v>
      </c>
      <c r="B44" s="516" t="s">
        <v>475</v>
      </c>
      <c r="D44" s="518"/>
      <c r="E44" s="76"/>
      <c r="G44" s="391"/>
      <c r="H44" s="565"/>
      <c r="I44" s="434"/>
      <c r="J44" s="66"/>
      <c r="K44" s="466"/>
      <c r="L44" s="695"/>
    </row>
    <row r="45" spans="1:15" s="516" customFormat="1" x14ac:dyDescent="0.35">
      <c r="D45" s="518"/>
      <c r="E45" s="76"/>
      <c r="G45" s="391"/>
      <c r="H45" s="565"/>
      <c r="I45" s="434"/>
      <c r="J45" s="66"/>
      <c r="K45" s="466"/>
      <c r="L45" s="695"/>
    </row>
    <row r="46" spans="1:15" x14ac:dyDescent="0.35">
      <c r="E46" s="431"/>
      <c r="G46" s="426"/>
      <c r="H46" s="564"/>
      <c r="I46" s="62"/>
      <c r="J46" s="466"/>
      <c r="K46" s="466"/>
      <c r="L46" s="317"/>
      <c r="N46" s="316"/>
      <c r="O46" s="316"/>
    </row>
    <row r="47" spans="1:15" x14ac:dyDescent="0.35">
      <c r="E47" s="431"/>
      <c r="G47" s="426"/>
      <c r="H47" s="564"/>
      <c r="I47" s="62"/>
      <c r="J47" s="466"/>
      <c r="K47" s="466"/>
      <c r="L47" s="317"/>
      <c r="N47" s="316"/>
      <c r="O47" s="316"/>
    </row>
    <row r="48" spans="1:15" x14ac:dyDescent="0.35">
      <c r="E48" s="431"/>
      <c r="G48" s="426"/>
      <c r="H48" s="564"/>
      <c r="I48" s="62"/>
      <c r="J48" s="466"/>
      <c r="K48" s="466"/>
      <c r="L48" s="317"/>
      <c r="N48" s="316"/>
      <c r="O48" s="316"/>
    </row>
    <row r="49" spans="4:15" x14ac:dyDescent="0.35">
      <c r="E49" s="431"/>
      <c r="G49" s="426"/>
      <c r="H49" s="564"/>
      <c r="I49" s="62"/>
      <c r="J49" s="466"/>
      <c r="K49" s="466"/>
      <c r="L49" s="317"/>
      <c r="N49" s="316"/>
      <c r="O49" s="316"/>
    </row>
    <row r="50" spans="4:15" x14ac:dyDescent="0.35">
      <c r="E50" s="431"/>
      <c r="G50" s="426"/>
      <c r="H50" s="564"/>
      <c r="I50" s="62"/>
      <c r="J50" s="466"/>
      <c r="K50" s="466"/>
      <c r="L50" s="317"/>
      <c r="N50" s="316"/>
      <c r="O50" s="316"/>
    </row>
    <row r="51" spans="4:15" ht="15" customHeight="1" x14ac:dyDescent="0.35">
      <c r="D51" s="74"/>
      <c r="E51" s="431"/>
      <c r="F51" s="74"/>
      <c r="G51" s="426"/>
      <c r="H51" s="564"/>
      <c r="I51" s="62"/>
      <c r="J51" s="466"/>
      <c r="K51" s="466"/>
      <c r="L51" s="317"/>
      <c r="N51" s="316"/>
      <c r="O51" s="316"/>
    </row>
    <row r="52" spans="4:15" ht="15" customHeight="1" x14ac:dyDescent="0.35">
      <c r="E52" s="431"/>
      <c r="G52" s="426"/>
      <c r="H52" s="564"/>
      <c r="I52" s="62"/>
      <c r="J52" s="466"/>
      <c r="K52" s="466"/>
      <c r="L52" s="317"/>
      <c r="N52" s="316"/>
      <c r="O52" s="316"/>
    </row>
    <row r="53" spans="4:15" ht="15" customHeight="1" x14ac:dyDescent="0.35">
      <c r="D53" s="74"/>
      <c r="E53" s="431"/>
      <c r="F53" s="74"/>
      <c r="G53" s="426"/>
      <c r="H53" s="564"/>
      <c r="I53" s="62"/>
      <c r="J53" s="466"/>
      <c r="K53" s="466"/>
      <c r="L53" s="317"/>
      <c r="N53" s="316"/>
      <c r="O53" s="316"/>
    </row>
    <row r="54" spans="4:15" x14ac:dyDescent="0.35">
      <c r="E54" s="431"/>
      <c r="G54" s="426"/>
      <c r="H54" s="564"/>
      <c r="I54" s="62"/>
      <c r="J54" s="466"/>
      <c r="K54" s="466"/>
      <c r="L54" s="317"/>
      <c r="N54" s="316"/>
      <c r="O54" s="316"/>
    </row>
    <row r="55" spans="4:15" x14ac:dyDescent="0.35">
      <c r="E55" s="431"/>
      <c r="G55" s="426"/>
      <c r="H55" s="564"/>
      <c r="I55" s="62"/>
      <c r="J55" s="466"/>
      <c r="K55" s="466"/>
      <c r="L55" s="317"/>
      <c r="N55" s="316"/>
      <c r="O55" s="316"/>
    </row>
    <row r="56" spans="4:15" x14ac:dyDescent="0.35">
      <c r="E56" s="431"/>
      <c r="G56" s="426"/>
      <c r="H56" s="564"/>
      <c r="I56" s="62"/>
      <c r="J56" s="112"/>
      <c r="K56" s="466"/>
      <c r="L56" s="317"/>
      <c r="N56" s="316"/>
      <c r="O56" s="316"/>
    </row>
    <row r="57" spans="4:15" x14ac:dyDescent="0.35">
      <c r="E57" s="431"/>
      <c r="G57" s="426"/>
      <c r="H57" s="564"/>
      <c r="I57" s="62"/>
      <c r="J57" s="112"/>
      <c r="K57" s="466"/>
      <c r="L57" s="317"/>
      <c r="N57" s="316"/>
      <c r="O57" s="316"/>
    </row>
    <row r="58" spans="4:15" ht="16.5" customHeight="1" x14ac:dyDescent="0.35">
      <c r="E58" s="431"/>
      <c r="F58" s="59"/>
      <c r="G58" s="426"/>
      <c r="H58" s="564"/>
      <c r="I58" s="62"/>
      <c r="J58" s="466"/>
      <c r="K58" s="466"/>
      <c r="L58" s="317"/>
      <c r="N58" s="316"/>
      <c r="O58" s="316"/>
    </row>
    <row r="59" spans="4:15" ht="18" customHeight="1" x14ac:dyDescent="0.35">
      <c r="E59" s="76"/>
      <c r="F59" s="59"/>
      <c r="G59" s="426"/>
      <c r="H59" s="564"/>
      <c r="I59" s="62"/>
      <c r="J59" s="34"/>
      <c r="K59" s="466"/>
      <c r="L59" s="317"/>
      <c r="N59" s="316"/>
      <c r="O59" s="316"/>
    </row>
    <row r="60" spans="4:15" x14ac:dyDescent="0.35">
      <c r="E60" s="76"/>
      <c r="G60" s="426"/>
      <c r="H60" s="564"/>
      <c r="I60" s="62"/>
      <c r="J60" s="34"/>
      <c r="K60" s="466"/>
      <c r="L60" s="317"/>
      <c r="N60" s="316"/>
      <c r="O60" s="316"/>
    </row>
    <row r="61" spans="4:15" x14ac:dyDescent="0.35">
      <c r="E61" s="76"/>
      <c r="G61" s="426"/>
      <c r="H61" s="564"/>
      <c r="I61" s="62"/>
      <c r="J61" s="34"/>
      <c r="K61" s="466"/>
      <c r="L61" s="317"/>
      <c r="N61" s="316"/>
      <c r="O61" s="316"/>
    </row>
    <row r="62" spans="4:15" s="516" customFormat="1" x14ac:dyDescent="0.35">
      <c r="E62" s="76"/>
      <c r="G62" s="426"/>
      <c r="H62" s="426"/>
      <c r="I62" s="434"/>
      <c r="J62" s="34"/>
      <c r="K62" s="466"/>
      <c r="L62" s="434"/>
    </row>
    <row r="63" spans="4:15" s="516" customFormat="1" x14ac:dyDescent="0.35">
      <c r="E63" s="76"/>
      <c r="G63" s="426"/>
      <c r="H63" s="426"/>
      <c r="I63" s="434"/>
      <c r="J63" s="66"/>
      <c r="K63" s="466"/>
      <c r="L63" s="434"/>
    </row>
    <row r="64" spans="4:15" s="516" customFormat="1" x14ac:dyDescent="0.35">
      <c r="D64" s="518"/>
      <c r="E64" s="76"/>
      <c r="G64" s="426"/>
      <c r="H64" s="426"/>
      <c r="I64" s="434"/>
      <c r="J64" s="66"/>
      <c r="K64" s="466"/>
      <c r="L64" s="434"/>
    </row>
    <row r="65" spans="1:12" s="516" customFormat="1" x14ac:dyDescent="0.35">
      <c r="D65" s="518"/>
      <c r="E65" s="76"/>
      <c r="G65" s="426"/>
      <c r="H65" s="426"/>
      <c r="I65" s="434"/>
      <c r="J65" s="66"/>
      <c r="K65" s="466"/>
      <c r="L65" s="434"/>
    </row>
    <row r="66" spans="1:12" s="516" customFormat="1" x14ac:dyDescent="0.35">
      <c r="D66" s="518"/>
      <c r="E66" s="76"/>
      <c r="G66" s="426"/>
      <c r="H66" s="565"/>
      <c r="I66" s="434"/>
      <c r="J66" s="66"/>
      <c r="K66" s="466"/>
      <c r="L66" s="434"/>
    </row>
    <row r="67" spans="1:12" s="516" customFormat="1" x14ac:dyDescent="0.35">
      <c r="D67" s="518"/>
      <c r="E67" s="76"/>
      <c r="G67" s="426"/>
      <c r="H67" s="565"/>
      <c r="I67" s="434"/>
      <c r="J67" s="66"/>
      <c r="K67" s="466"/>
      <c r="L67" s="434"/>
    </row>
    <row r="68" spans="1:12" x14ac:dyDescent="0.35">
      <c r="G68" s="62"/>
      <c r="H68" s="67"/>
      <c r="I68" s="4"/>
      <c r="J68" s="66"/>
      <c r="K68" s="313"/>
      <c r="L68" s="313"/>
    </row>
    <row r="69" spans="1:12" s="323" customFormat="1" x14ac:dyDescent="0.35">
      <c r="D69" s="305"/>
      <c r="E69" s="305"/>
      <c r="F69" s="305"/>
      <c r="G69" s="104"/>
      <c r="H69" s="104"/>
      <c r="I69" s="324"/>
      <c r="J69" s="66"/>
      <c r="K69" s="324"/>
      <c r="L69" s="324"/>
    </row>
    <row r="70" spans="1:12" s="516" customFormat="1" x14ac:dyDescent="0.35">
      <c r="G70" s="434"/>
      <c r="H70" s="458"/>
      <c r="I70" s="391"/>
      <c r="J70" s="66"/>
      <c r="K70" s="391"/>
      <c r="L70" s="391"/>
    </row>
    <row r="71" spans="1:12" s="277" customFormat="1" x14ac:dyDescent="0.35">
      <c r="A71" s="205" t="s">
        <v>226</v>
      </c>
      <c r="E71" s="62"/>
      <c r="F71" s="67"/>
      <c r="G71" s="198"/>
      <c r="H71" s="66"/>
      <c r="I71" s="21"/>
    </row>
    <row r="72" spans="1:12" s="318" customFormat="1" x14ac:dyDescent="0.35">
      <c r="A72" s="321"/>
      <c r="B72" s="323" t="s">
        <v>421</v>
      </c>
      <c r="E72" s="320"/>
      <c r="F72" s="67"/>
      <c r="G72" s="319"/>
      <c r="H72" s="66"/>
      <c r="I72" s="322"/>
    </row>
    <row r="73" spans="1:12" s="318" customFormat="1" x14ac:dyDescent="0.35">
      <c r="A73" s="321"/>
      <c r="B73" s="689" t="s">
        <v>444</v>
      </c>
      <c r="E73" s="320"/>
      <c r="F73" s="67"/>
      <c r="G73" s="319"/>
      <c r="H73" s="66"/>
      <c r="I73" s="322"/>
    </row>
    <row r="74" spans="1:12" s="318" customFormat="1" x14ac:dyDescent="0.35">
      <c r="B74" s="323"/>
      <c r="E74" s="320"/>
      <c r="F74" s="67"/>
      <c r="G74" s="319"/>
      <c r="H74" s="66"/>
      <c r="I74" s="322"/>
    </row>
    <row r="75" spans="1:12" s="318" customFormat="1" x14ac:dyDescent="0.35">
      <c r="A75" s="321" t="s">
        <v>445</v>
      </c>
      <c r="B75" s="323"/>
      <c r="E75" s="320"/>
      <c r="F75" s="67"/>
      <c r="G75" s="319"/>
      <c r="H75" s="66"/>
      <c r="I75" s="322"/>
    </row>
    <row r="76" spans="1:12" s="688" customFormat="1" x14ac:dyDescent="0.35">
      <c r="A76" s="657"/>
      <c r="B76" s="688">
        <v>1</v>
      </c>
      <c r="D76" s="688" t="s">
        <v>429</v>
      </c>
      <c r="E76" s="434"/>
      <c r="F76" s="458"/>
      <c r="G76" s="391"/>
      <c r="H76" s="66"/>
      <c r="I76" s="327"/>
    </row>
    <row r="77" spans="1:12" s="688" customFormat="1" x14ac:dyDescent="0.35">
      <c r="A77" s="657"/>
      <c r="B77" s="688">
        <v>2</v>
      </c>
      <c r="D77" s="688" t="s">
        <v>442</v>
      </c>
      <c r="E77" s="434"/>
      <c r="F77" s="458"/>
      <c r="G77" s="391"/>
      <c r="H77" s="66"/>
      <c r="I77" s="327"/>
    </row>
    <row r="78" spans="1:12" s="688" customFormat="1" x14ac:dyDescent="0.35">
      <c r="A78" s="657"/>
      <c r="B78" s="688">
        <v>3</v>
      </c>
      <c r="D78" s="688" t="s">
        <v>442</v>
      </c>
      <c r="E78" s="434"/>
      <c r="F78" s="458"/>
      <c r="G78" s="391"/>
      <c r="H78" s="66"/>
      <c r="I78" s="327"/>
    </row>
    <row r="79" spans="1:12" s="688" customFormat="1" x14ac:dyDescent="0.35">
      <c r="A79" s="657"/>
      <c r="B79" s="688">
        <v>4</v>
      </c>
      <c r="D79" s="688" t="s">
        <v>442</v>
      </c>
      <c r="E79" s="434"/>
      <c r="F79" s="458"/>
      <c r="G79" s="391"/>
      <c r="H79" s="66"/>
      <c r="I79" s="327"/>
    </row>
    <row r="80" spans="1:12" s="688" customFormat="1" x14ac:dyDescent="0.35">
      <c r="A80" s="657"/>
      <c r="B80" s="688">
        <v>5</v>
      </c>
      <c r="D80" s="688" t="s">
        <v>442</v>
      </c>
      <c r="E80" s="434"/>
      <c r="F80" s="458"/>
      <c r="G80" s="391"/>
      <c r="H80" s="66"/>
      <c r="I80" s="327"/>
    </row>
    <row r="81" spans="1:9" s="688" customFormat="1" x14ac:dyDescent="0.35">
      <c r="A81" s="657"/>
      <c r="B81" s="688">
        <v>6</v>
      </c>
      <c r="D81" s="688" t="s">
        <v>442</v>
      </c>
      <c r="E81" s="434"/>
      <c r="F81" s="458"/>
      <c r="G81" s="391"/>
      <c r="H81" s="66"/>
      <c r="I81" s="327"/>
    </row>
    <row r="82" spans="1:9" s="688" customFormat="1" x14ac:dyDescent="0.35">
      <c r="A82" s="657"/>
      <c r="B82" s="688">
        <v>7</v>
      </c>
      <c r="D82" s="688" t="s">
        <v>442</v>
      </c>
      <c r="E82" s="434"/>
      <c r="F82" s="458"/>
      <c r="G82" s="391"/>
      <c r="H82" s="66"/>
      <c r="I82" s="327"/>
    </row>
    <row r="83" spans="1:9" s="688" customFormat="1" x14ac:dyDescent="0.35">
      <c r="A83" s="657"/>
      <c r="B83" s="688">
        <v>8</v>
      </c>
      <c r="D83" s="688" t="s">
        <v>442</v>
      </c>
      <c r="E83" s="434"/>
      <c r="F83" s="458"/>
      <c r="G83" s="391"/>
      <c r="H83" s="66"/>
      <c r="I83" s="327"/>
    </row>
    <row r="84" spans="1:9" s="688" customFormat="1" x14ac:dyDescent="0.35">
      <c r="A84" s="657"/>
      <c r="B84" s="688">
        <v>9</v>
      </c>
      <c r="D84" s="688" t="s">
        <v>442</v>
      </c>
      <c r="E84" s="434"/>
      <c r="F84" s="458"/>
      <c r="G84" s="391"/>
      <c r="H84" s="66"/>
      <c r="I84" s="327"/>
    </row>
    <row r="85" spans="1:9" s="688" customFormat="1" x14ac:dyDescent="0.35">
      <c r="A85" s="657"/>
      <c r="B85" s="688">
        <v>10</v>
      </c>
      <c r="D85" s="688" t="s">
        <v>442</v>
      </c>
      <c r="E85" s="434"/>
      <c r="F85" s="458"/>
      <c r="G85" s="391"/>
      <c r="H85" s="66"/>
      <c r="I85" s="327"/>
    </row>
    <row r="86" spans="1:9" s="688" customFormat="1" x14ac:dyDescent="0.35">
      <c r="A86" s="657"/>
      <c r="B86" s="688">
        <v>11</v>
      </c>
      <c r="D86" s="688" t="s">
        <v>442</v>
      </c>
      <c r="E86" s="434"/>
      <c r="F86" s="458"/>
      <c r="G86" s="391"/>
      <c r="H86" s="66"/>
      <c r="I86" s="327"/>
    </row>
    <row r="87" spans="1:9" s="688" customFormat="1" x14ac:dyDescent="0.35">
      <c r="A87" s="657"/>
      <c r="B87" s="688">
        <v>12</v>
      </c>
      <c r="D87" s="688" t="s">
        <v>442</v>
      </c>
      <c r="E87" s="434"/>
      <c r="F87" s="458"/>
      <c r="G87" s="391"/>
      <c r="H87" s="66"/>
      <c r="I87" s="327"/>
    </row>
    <row r="88" spans="1:9" s="688" customFormat="1" x14ac:dyDescent="0.35">
      <c r="A88" s="657"/>
      <c r="B88" s="688">
        <v>13</v>
      </c>
      <c r="D88" s="688" t="s">
        <v>442</v>
      </c>
      <c r="E88" s="434"/>
      <c r="F88" s="458"/>
      <c r="G88" s="391"/>
      <c r="H88" s="66"/>
      <c r="I88" s="327"/>
    </row>
    <row r="89" spans="1:9" s="688" customFormat="1" x14ac:dyDescent="0.35">
      <c r="A89" s="657"/>
      <c r="B89" s="518">
        <v>14</v>
      </c>
      <c r="D89" s="688" t="s">
        <v>442</v>
      </c>
      <c r="E89" s="434"/>
      <c r="F89" s="458"/>
      <c r="G89" s="391"/>
      <c r="H89" s="66"/>
      <c r="I89" s="327"/>
    </row>
    <row r="90" spans="1:9" s="688" customFormat="1" x14ac:dyDescent="0.35">
      <c r="A90" s="657"/>
      <c r="B90" s="518">
        <v>15</v>
      </c>
      <c r="D90" s="688" t="s">
        <v>442</v>
      </c>
      <c r="E90" s="434"/>
      <c r="F90" s="458"/>
      <c r="G90" s="391"/>
      <c r="H90" s="66"/>
      <c r="I90" s="327"/>
    </row>
    <row r="91" spans="1:9" s="688" customFormat="1" x14ac:dyDescent="0.35">
      <c r="A91" s="657"/>
      <c r="B91" s="518">
        <v>16</v>
      </c>
      <c r="D91" s="518" t="s">
        <v>441</v>
      </c>
      <c r="E91" s="434"/>
      <c r="F91" s="458"/>
      <c r="G91" s="391"/>
      <c r="H91" s="66"/>
      <c r="I91" s="327"/>
    </row>
    <row r="92" spans="1:9" s="318" customFormat="1" x14ac:dyDescent="0.35">
      <c r="A92" s="321"/>
      <c r="B92" s="518">
        <v>17</v>
      </c>
      <c r="D92" s="518" t="s">
        <v>441</v>
      </c>
      <c r="E92" s="320"/>
      <c r="F92" s="67"/>
      <c r="G92" s="319"/>
      <c r="H92" s="66"/>
      <c r="I92" s="322"/>
    </row>
    <row r="93" spans="1:9" s="323" customFormat="1" x14ac:dyDescent="0.35">
      <c r="A93" s="326"/>
      <c r="B93" s="518">
        <v>18</v>
      </c>
      <c r="D93" s="688" t="s">
        <v>442</v>
      </c>
      <c r="E93" s="325"/>
      <c r="F93" s="67"/>
      <c r="G93" s="324"/>
      <c r="H93" s="66"/>
      <c r="I93" s="327"/>
    </row>
    <row r="94" spans="1:9" s="277" customFormat="1" x14ac:dyDescent="0.35">
      <c r="B94" s="518">
        <v>19</v>
      </c>
      <c r="C94" s="314"/>
      <c r="D94" s="688" t="s">
        <v>429</v>
      </c>
      <c r="E94" s="62"/>
      <c r="F94" s="67"/>
      <c r="G94" s="198"/>
      <c r="H94" s="66"/>
    </row>
    <row r="95" spans="1:9" s="277" customFormat="1" ht="15.5" x14ac:dyDescent="0.35">
      <c r="B95" s="518">
        <v>20</v>
      </c>
      <c r="C95" s="315"/>
      <c r="D95" s="688" t="s">
        <v>429</v>
      </c>
      <c r="E95" s="290"/>
      <c r="F95" s="291"/>
      <c r="G95" s="292"/>
      <c r="H95" s="293"/>
    </row>
    <row r="96" spans="1:9" s="277" customFormat="1" ht="15.5" x14ac:dyDescent="0.35">
      <c r="B96" s="518">
        <v>21</v>
      </c>
      <c r="D96" s="688" t="s">
        <v>429</v>
      </c>
      <c r="E96" s="290"/>
      <c r="F96" s="291"/>
      <c r="G96" s="292"/>
      <c r="H96" s="293"/>
    </row>
    <row r="97" spans="1:8" s="277" customFormat="1" ht="15.5" x14ac:dyDescent="0.35">
      <c r="B97" s="518">
        <v>22</v>
      </c>
      <c r="D97" s="688" t="s">
        <v>429</v>
      </c>
      <c r="E97" s="290"/>
      <c r="F97" s="291"/>
      <c r="G97" s="292"/>
      <c r="H97" s="293"/>
    </row>
    <row r="98" spans="1:8" s="688" customFormat="1" ht="15.5" x14ac:dyDescent="0.35">
      <c r="B98" s="518"/>
      <c r="D98" s="75"/>
      <c r="E98" s="290"/>
      <c r="F98" s="291"/>
      <c r="G98" s="292"/>
      <c r="H98" s="293"/>
    </row>
    <row r="99" spans="1:8" s="277" customFormat="1" ht="15.5" x14ac:dyDescent="0.35">
      <c r="A99" s="205" t="s">
        <v>227</v>
      </c>
      <c r="B99" s="75"/>
      <c r="D99" s="75"/>
      <c r="E99" s="290"/>
      <c r="F99" s="291"/>
      <c r="G99" s="292"/>
      <c r="H99" s="293"/>
    </row>
    <row r="100" spans="1:8" s="277" customFormat="1" ht="15.5" x14ac:dyDescent="0.35">
      <c r="A100" s="205"/>
      <c r="B100" s="689" t="s">
        <v>444</v>
      </c>
      <c r="F100" s="291"/>
      <c r="G100" s="292"/>
      <c r="H100" s="293"/>
    </row>
    <row r="101" spans="1:8" s="688" customFormat="1" ht="15.5" x14ac:dyDescent="0.35">
      <c r="A101" s="657"/>
      <c r="B101" s="688" t="s">
        <v>421</v>
      </c>
      <c r="F101" s="291"/>
      <c r="G101" s="292"/>
      <c r="H101" s="293"/>
    </row>
    <row r="102" spans="1:8" x14ac:dyDescent="0.35">
      <c r="B102" s="318"/>
    </row>
    <row r="103" spans="1:8" x14ac:dyDescent="0.35">
      <c r="A103" s="205" t="s">
        <v>443</v>
      </c>
      <c r="B103" s="318"/>
    </row>
    <row r="104" spans="1:8" ht="15.5" x14ac:dyDescent="0.35">
      <c r="B104" s="688">
        <v>1</v>
      </c>
      <c r="C104" s="277"/>
      <c r="D104" s="69" t="s">
        <v>442</v>
      </c>
      <c r="E104" s="290"/>
    </row>
    <row r="105" spans="1:8" ht="15.5" x14ac:dyDescent="0.35">
      <c r="B105" s="688">
        <v>2</v>
      </c>
      <c r="C105" s="277"/>
      <c r="D105" s="688" t="s">
        <v>442</v>
      </c>
      <c r="E105" s="290"/>
    </row>
    <row r="106" spans="1:8" ht="15.5" x14ac:dyDescent="0.35">
      <c r="B106" s="688">
        <v>3</v>
      </c>
      <c r="C106" s="277"/>
      <c r="D106" s="688" t="s">
        <v>442</v>
      </c>
      <c r="E106" s="290"/>
    </row>
    <row r="107" spans="1:8" ht="15.5" x14ac:dyDescent="0.35">
      <c r="B107" s="688">
        <v>4</v>
      </c>
      <c r="C107" s="277"/>
      <c r="D107" s="688" t="s">
        <v>442</v>
      </c>
      <c r="E107" s="290"/>
    </row>
    <row r="108" spans="1:8" ht="15.5" x14ac:dyDescent="0.35">
      <c r="B108" s="688">
        <v>5</v>
      </c>
      <c r="C108" s="277"/>
      <c r="D108" s="688" t="s">
        <v>442</v>
      </c>
      <c r="E108" s="290"/>
    </row>
    <row r="109" spans="1:8" ht="15.5" x14ac:dyDescent="0.35">
      <c r="B109" s="688">
        <v>6</v>
      </c>
      <c r="C109" s="277"/>
      <c r="D109" s="688" t="s">
        <v>442</v>
      </c>
      <c r="E109" s="290"/>
    </row>
    <row r="110" spans="1:8" ht="15.5" x14ac:dyDescent="0.35">
      <c r="B110" s="688">
        <v>7</v>
      </c>
      <c r="C110" s="277"/>
      <c r="D110" s="688" t="s">
        <v>442</v>
      </c>
      <c r="E110" s="290"/>
    </row>
    <row r="111" spans="1:8" ht="15.5" x14ac:dyDescent="0.35">
      <c r="B111" s="688">
        <v>8</v>
      </c>
      <c r="C111" s="277"/>
      <c r="D111" s="688" t="s">
        <v>442</v>
      </c>
      <c r="E111" s="290"/>
    </row>
    <row r="112" spans="1:8" ht="15.5" x14ac:dyDescent="0.35">
      <c r="B112" s="688">
        <v>9</v>
      </c>
      <c r="C112" s="277"/>
      <c r="D112" s="688" t="s">
        <v>442</v>
      </c>
      <c r="E112" s="290"/>
    </row>
    <row r="113" spans="2:5" ht="15.5" x14ac:dyDescent="0.35">
      <c r="B113" s="688">
        <v>10</v>
      </c>
      <c r="C113" s="277"/>
      <c r="D113" s="688" t="s">
        <v>442</v>
      </c>
      <c r="E113" s="290"/>
    </row>
    <row r="114" spans="2:5" x14ac:dyDescent="0.35">
      <c r="B114" s="688">
        <v>11</v>
      </c>
      <c r="C114" s="277"/>
      <c r="D114" s="688" t="s">
        <v>442</v>
      </c>
      <c r="E114" s="277"/>
    </row>
    <row r="115" spans="2:5" x14ac:dyDescent="0.35">
      <c r="B115" s="688">
        <v>12</v>
      </c>
      <c r="D115" s="688" t="s">
        <v>442</v>
      </c>
    </row>
    <row r="116" spans="2:5" x14ac:dyDescent="0.35">
      <c r="B116" s="688">
        <v>13</v>
      </c>
      <c r="D116" s="688" t="s">
        <v>442</v>
      </c>
    </row>
    <row r="117" spans="2:5" x14ac:dyDescent="0.35">
      <c r="B117" s="518">
        <v>14</v>
      </c>
      <c r="D117" s="688" t="s">
        <v>442</v>
      </c>
    </row>
    <row r="118" spans="2:5" x14ac:dyDescent="0.35">
      <c r="B118" s="518">
        <v>15</v>
      </c>
      <c r="D118" s="688" t="s">
        <v>442</v>
      </c>
    </row>
    <row r="119" spans="2:5" x14ac:dyDescent="0.35">
      <c r="B119" s="518">
        <v>16</v>
      </c>
      <c r="D119" s="518" t="s">
        <v>441</v>
      </c>
    </row>
    <row r="120" spans="2:5" x14ac:dyDescent="0.35">
      <c r="B120" s="518">
        <v>17</v>
      </c>
      <c r="D120" s="518" t="s">
        <v>441</v>
      </c>
    </row>
    <row r="121" spans="2:5" x14ac:dyDescent="0.35">
      <c r="B121" s="518">
        <v>18</v>
      </c>
      <c r="D121" s="688" t="s">
        <v>442</v>
      </c>
    </row>
    <row r="122" spans="2:5" x14ac:dyDescent="0.35">
      <c r="B122" s="518">
        <v>19</v>
      </c>
      <c r="D122" s="688" t="s">
        <v>429</v>
      </c>
    </row>
    <row r="123" spans="2:5" x14ac:dyDescent="0.35">
      <c r="B123" s="518">
        <v>20</v>
      </c>
      <c r="D123" s="516" t="s">
        <v>429</v>
      </c>
    </row>
    <row r="124" spans="2:5" x14ac:dyDescent="0.35">
      <c r="B124" s="518">
        <v>21</v>
      </c>
      <c r="D124" s="516" t="s">
        <v>429</v>
      </c>
    </row>
    <row r="125" spans="2:5" x14ac:dyDescent="0.35">
      <c r="B125" s="518">
        <v>22</v>
      </c>
      <c r="D125" s="516" t="s">
        <v>429</v>
      </c>
    </row>
  </sheetData>
  <mergeCells count="1">
    <mergeCell ref="B4:C4"/>
  </mergeCells>
  <dataValidations count="3">
    <dataValidation type="list" showInputMessage="1" showErrorMessage="1" sqref="F56:F80 F35:F51">
      <formula1>$E$4:$E$17</formula1>
    </dataValidation>
    <dataValidation type="list" showInputMessage="1" showErrorMessage="1" sqref="D81:D85 D108:D109">
      <formula1>#REF!</formula1>
    </dataValidation>
    <dataValidation showInputMessage="1" showErrorMessage="1" sqref="E4:E17"/>
  </dataValidation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5"/>
  <sheetViews>
    <sheetView zoomScale="70" zoomScaleNormal="70" workbookViewId="0">
      <selection activeCell="H7" sqref="H7"/>
    </sheetView>
  </sheetViews>
  <sheetFormatPr defaultRowHeight="14.5" x14ac:dyDescent="0.35"/>
  <cols>
    <col min="1" max="1" width="5.6328125" customWidth="1"/>
    <col min="4" max="4" width="26" customWidth="1"/>
    <col min="5" max="8" width="22.90625" bestFit="1" customWidth="1"/>
  </cols>
  <sheetData>
    <row r="1" spans="1:12" x14ac:dyDescent="0.35">
      <c r="A1" s="57" t="s">
        <v>135</v>
      </c>
    </row>
    <row r="2" spans="1:12" x14ac:dyDescent="0.35">
      <c r="E2" s="63"/>
      <c r="F2" s="63"/>
      <c r="G2" s="63"/>
      <c r="H2" s="63"/>
    </row>
    <row r="3" spans="1:12" x14ac:dyDescent="0.35">
      <c r="E3">
        <v>1</v>
      </c>
      <c r="F3">
        <v>10</v>
      </c>
      <c r="G3">
        <v>50</v>
      </c>
      <c r="H3">
        <v>100</v>
      </c>
    </row>
    <row r="4" spans="1:12" x14ac:dyDescent="0.35">
      <c r="B4" s="64"/>
      <c r="D4" t="s">
        <v>446</v>
      </c>
      <c r="E4" s="434">
        <f>'CBS (Total)'!J24+'CBS (Total)'!J27</f>
        <v>6589822</v>
      </c>
      <c r="F4" s="434">
        <f>'CBS (Total)'!L24+'CBS (Total)'!L27</f>
        <v>48047868.103783242</v>
      </c>
      <c r="G4" s="434">
        <f>'CBS (Total)'!N24+'CBS (Total)'!N27</f>
        <v>193734581.61894801</v>
      </c>
      <c r="H4" s="434">
        <f>'CBS (Total)'!P24+'CBS (Total)'!P27</f>
        <v>352781738.17237675</v>
      </c>
      <c r="I4" s="434"/>
      <c r="J4" s="434"/>
      <c r="L4" s="434"/>
    </row>
    <row r="5" spans="1:12" x14ac:dyDescent="0.35">
      <c r="B5" s="64"/>
      <c r="E5" s="396">
        <v>0.3</v>
      </c>
      <c r="F5" s="396">
        <v>0.2</v>
      </c>
      <c r="G5" s="396">
        <v>0.2</v>
      </c>
      <c r="H5" s="396">
        <v>0.2</v>
      </c>
    </row>
    <row r="7" spans="1:12" s="688" customFormat="1" x14ac:dyDescent="0.35">
      <c r="D7" s="305" t="s">
        <v>87</v>
      </c>
      <c r="E7" s="104">
        <f>E4*E5</f>
        <v>1976946.5999999999</v>
      </c>
      <c r="F7" s="104">
        <f t="shared" ref="F7:H7" si="0">F4*F5</f>
        <v>9609573.6207566485</v>
      </c>
      <c r="G7" s="641">
        <f>G4*G5</f>
        <v>38746916.323789604</v>
      </c>
      <c r="H7" s="104">
        <f t="shared" si="0"/>
        <v>70556347.63447535</v>
      </c>
    </row>
    <row r="8" spans="1:12" s="688" customFormat="1" x14ac:dyDescent="0.35">
      <c r="E8" s="63" t="s">
        <v>136</v>
      </c>
      <c r="F8" s="63" t="s">
        <v>136</v>
      </c>
      <c r="G8" s="63" t="s">
        <v>136</v>
      </c>
      <c r="H8" s="63" t="s">
        <v>136</v>
      </c>
    </row>
    <row r="10" spans="1:12" s="277" customFormat="1" x14ac:dyDescent="0.35">
      <c r="A10" s="205" t="s">
        <v>217</v>
      </c>
      <c r="E10" s="62"/>
      <c r="F10" s="62"/>
      <c r="G10" s="62"/>
      <c r="H10" s="62"/>
    </row>
    <row r="11" spans="1:12" s="277" customFormat="1" x14ac:dyDescent="0.35">
      <c r="A11" s="277">
        <v>1.6</v>
      </c>
      <c r="B11" s="328" t="s">
        <v>74</v>
      </c>
      <c r="E11" s="62"/>
      <c r="F11" s="62"/>
      <c r="G11" s="62"/>
      <c r="H11" s="62"/>
    </row>
    <row r="12" spans="1:12" s="277" customFormat="1" x14ac:dyDescent="0.35">
      <c r="B12" s="329" t="s">
        <v>233</v>
      </c>
    </row>
    <row r="13" spans="1:12" s="277" customFormat="1" x14ac:dyDescent="0.35"/>
    <row r="14" spans="1:12" s="277" customFormat="1" x14ac:dyDescent="0.35">
      <c r="A14" s="205" t="s">
        <v>215</v>
      </c>
    </row>
    <row r="15" spans="1:12" s="277" customFormat="1" x14ac:dyDescent="0.35">
      <c r="A15" s="277">
        <v>1.6</v>
      </c>
      <c r="B15" s="277" t="s">
        <v>218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3"/>
  <sheetViews>
    <sheetView zoomScale="70" zoomScaleNormal="70" workbookViewId="0">
      <selection activeCell="H109" sqref="H109"/>
    </sheetView>
  </sheetViews>
  <sheetFormatPr defaultColWidth="9.08984375" defaultRowHeight="14.5" x14ac:dyDescent="0.35"/>
  <cols>
    <col min="1" max="1" width="6.90625" style="6" customWidth="1"/>
    <col min="2" max="2" width="3.6328125" style="6" customWidth="1"/>
    <col min="3" max="3" width="25.453125" style="6" customWidth="1"/>
    <col min="4" max="4" width="31.54296875" style="6" customWidth="1"/>
    <col min="5" max="5" width="13.453125" style="6" customWidth="1"/>
    <col min="6" max="6" width="15" style="6" bestFit="1" customWidth="1"/>
    <col min="7" max="7" width="16.90625" style="6" bestFit="1" customWidth="1"/>
    <col min="8" max="8" width="16.453125" style="6" bestFit="1" customWidth="1"/>
    <col min="9" max="9" width="15.90625" style="6" customWidth="1"/>
    <col min="10" max="10" width="13.36328125" style="6" customWidth="1"/>
    <col min="11" max="11" width="13.54296875" style="6" bestFit="1" customWidth="1"/>
    <col min="12" max="12" width="13.08984375" style="6" bestFit="1" customWidth="1"/>
    <col min="13" max="13" width="14.54296875" style="6" bestFit="1" customWidth="1"/>
    <col min="14" max="14" width="14" style="6" customWidth="1"/>
    <col min="15" max="15" width="13.08984375" style="6" bestFit="1" customWidth="1"/>
    <col min="16" max="16" width="15.453125" style="6" bestFit="1" customWidth="1"/>
    <col min="17" max="17" width="15" style="6" customWidth="1"/>
    <col min="18" max="18" width="13.54296875" style="6" bestFit="1" customWidth="1"/>
    <col min="19" max="19" width="12" style="6" bestFit="1" customWidth="1"/>
    <col min="20" max="20" width="10.6328125" style="6" customWidth="1"/>
    <col min="21" max="21" width="13.54296875" style="6" bestFit="1" customWidth="1"/>
    <col min="22" max="22" width="15.36328125" style="6" customWidth="1"/>
    <col min="23" max="16384" width="9.08984375" style="6"/>
  </cols>
  <sheetData>
    <row r="1" spans="1:22" s="11" customFormat="1" x14ac:dyDescent="0.35">
      <c r="A1" s="345" t="s">
        <v>356</v>
      </c>
      <c r="B1" s="384"/>
      <c r="C1" s="384"/>
      <c r="D1" s="384"/>
      <c r="E1" s="384"/>
      <c r="F1" s="384"/>
      <c r="G1" s="384"/>
      <c r="H1" s="384"/>
      <c r="I1" s="384"/>
      <c r="J1" s="384"/>
      <c r="K1" s="384"/>
      <c r="L1" s="384"/>
      <c r="M1" s="384"/>
      <c r="N1" s="384"/>
      <c r="O1" s="384"/>
      <c r="P1" s="451"/>
      <c r="Q1" s="451"/>
      <c r="R1" s="451"/>
      <c r="S1" s="451"/>
      <c r="T1" s="451"/>
      <c r="U1" s="384"/>
      <c r="V1" s="384"/>
    </row>
    <row r="2" spans="1:22" s="64" customFormat="1" x14ac:dyDescent="0.35">
      <c r="A2" s="384"/>
      <c r="B2" s="384"/>
      <c r="C2" s="384"/>
      <c r="D2" s="384"/>
      <c r="E2" s="384"/>
      <c r="F2" s="384"/>
      <c r="G2" s="384"/>
      <c r="H2" s="384"/>
      <c r="I2" s="384"/>
      <c r="J2" s="384"/>
      <c r="K2" s="384"/>
      <c r="L2" s="384"/>
      <c r="M2" s="384"/>
      <c r="N2" s="384"/>
      <c r="O2" s="384"/>
      <c r="P2" s="451"/>
      <c r="Q2" s="451"/>
      <c r="R2" s="451"/>
      <c r="S2" s="451"/>
      <c r="T2" s="451"/>
      <c r="U2" s="384"/>
      <c r="V2" s="384"/>
    </row>
    <row r="3" spans="1:22" s="56" customFormat="1" x14ac:dyDescent="0.35">
      <c r="A3" s="345" t="s">
        <v>98</v>
      </c>
      <c r="B3" s="384"/>
      <c r="C3" s="384"/>
      <c r="D3" s="384"/>
      <c r="E3" s="384"/>
      <c r="F3" s="384"/>
      <c r="G3" s="384"/>
      <c r="H3" s="384"/>
      <c r="I3" s="384"/>
      <c r="J3" s="384"/>
      <c r="K3" s="384"/>
      <c r="L3" s="384"/>
      <c r="M3" s="384"/>
      <c r="N3" s="384"/>
      <c r="O3" s="384"/>
      <c r="P3" s="451"/>
      <c r="Q3" s="451"/>
      <c r="R3" s="451"/>
      <c r="S3" s="451"/>
      <c r="T3" s="451"/>
      <c r="U3" s="384"/>
      <c r="V3" s="384"/>
    </row>
    <row r="4" spans="1:22" s="56" customFormat="1" x14ac:dyDescent="0.35">
      <c r="A4" s="384"/>
      <c r="B4" s="384"/>
      <c r="C4" s="384"/>
      <c r="D4" s="384"/>
      <c r="E4" s="384" t="s">
        <v>59</v>
      </c>
      <c r="F4" s="384">
        <v>1</v>
      </c>
      <c r="G4" s="384">
        <v>10</v>
      </c>
      <c r="H4" s="384">
        <v>50</v>
      </c>
      <c r="I4" s="384">
        <v>100</v>
      </c>
      <c r="J4" s="384"/>
      <c r="K4" s="384"/>
      <c r="L4" s="384"/>
      <c r="M4" s="384"/>
      <c r="N4" s="384"/>
      <c r="O4" s="384"/>
      <c r="P4" s="451"/>
      <c r="Q4" s="511"/>
      <c r="R4" s="451"/>
      <c r="S4" s="451"/>
      <c r="T4" s="451"/>
      <c r="U4" s="384"/>
      <c r="V4" s="384"/>
    </row>
    <row r="5" spans="1:22" s="56" customFormat="1" x14ac:dyDescent="0.35">
      <c r="A5" s="384"/>
      <c r="B5" s="347" t="s">
        <v>62</v>
      </c>
      <c r="C5" s="384"/>
      <c r="D5" s="384" t="s">
        <v>45</v>
      </c>
      <c r="E5" s="384"/>
      <c r="F5" s="356">
        <f>F20</f>
        <v>29750</v>
      </c>
      <c r="G5" s="356">
        <f>G20</f>
        <v>297500</v>
      </c>
      <c r="H5" s="356">
        <f>H20</f>
        <v>1487500</v>
      </c>
      <c r="I5" s="356">
        <f>I20</f>
        <v>2975000</v>
      </c>
      <c r="J5" s="384"/>
      <c r="K5" s="384"/>
      <c r="L5" s="384"/>
      <c r="M5" s="384"/>
      <c r="N5" s="384"/>
      <c r="O5" s="384"/>
      <c r="P5" s="511"/>
      <c r="Q5" s="513"/>
      <c r="R5" s="513"/>
      <c r="S5" s="513"/>
      <c r="T5" s="513"/>
      <c r="U5" s="384"/>
      <c r="V5" s="384"/>
    </row>
    <row r="6" spans="1:22" s="56" customFormat="1" x14ac:dyDescent="0.35">
      <c r="A6" s="384"/>
      <c r="B6" s="347" t="s">
        <v>63</v>
      </c>
      <c r="C6" s="384"/>
      <c r="D6" s="384" t="s">
        <v>46</v>
      </c>
      <c r="E6" s="384"/>
      <c r="F6" s="356">
        <f>F34</f>
        <v>667000</v>
      </c>
      <c r="G6" s="356">
        <f t="shared" ref="G6:I6" si="0">G34</f>
        <v>767200</v>
      </c>
      <c r="H6" s="356">
        <f t="shared" si="0"/>
        <v>767200</v>
      </c>
      <c r="I6" s="356">
        <f t="shared" si="0"/>
        <v>1534000</v>
      </c>
      <c r="J6" s="384"/>
      <c r="K6" s="384"/>
      <c r="L6" s="384"/>
      <c r="M6" s="384"/>
      <c r="N6" s="384"/>
      <c r="O6" s="384"/>
      <c r="P6" s="511"/>
      <c r="Q6" s="513"/>
      <c r="R6" s="513"/>
      <c r="S6" s="513"/>
      <c r="T6" s="513"/>
      <c r="U6" s="384"/>
      <c r="V6" s="384"/>
    </row>
    <row r="7" spans="1:22" s="56" customFormat="1" x14ac:dyDescent="0.35">
      <c r="A7" s="384"/>
      <c r="B7" s="347" t="s">
        <v>64</v>
      </c>
      <c r="C7" s="384"/>
      <c r="D7" s="384" t="s">
        <v>60</v>
      </c>
      <c r="E7" s="384"/>
      <c r="F7" s="356">
        <f>G52</f>
        <v>3193833.5500000003</v>
      </c>
      <c r="G7" s="356">
        <f>J52</f>
        <v>3904558.5555555555</v>
      </c>
      <c r="H7" s="356">
        <f>M52</f>
        <v>7063960.777777778</v>
      </c>
      <c r="I7" s="356">
        <f>P52</f>
        <v>11013213.555555556</v>
      </c>
      <c r="J7" s="384"/>
      <c r="K7" s="384"/>
      <c r="L7" s="384"/>
      <c r="M7" s="384"/>
      <c r="N7" s="384"/>
      <c r="O7" s="384"/>
      <c r="P7" s="511"/>
      <c r="Q7" s="513"/>
      <c r="R7" s="513"/>
      <c r="S7" s="513"/>
      <c r="T7" s="513"/>
      <c r="U7" s="384"/>
      <c r="V7" s="384"/>
    </row>
    <row r="8" spans="1:22" s="56" customFormat="1" x14ac:dyDescent="0.35">
      <c r="A8" s="384"/>
      <c r="B8" s="347" t="s">
        <v>65</v>
      </c>
      <c r="C8" s="384"/>
      <c r="D8" s="384" t="s">
        <v>234</v>
      </c>
      <c r="E8" s="384"/>
      <c r="F8" s="356">
        <f>G79</f>
        <v>1507533.78</v>
      </c>
      <c r="G8" s="356">
        <f>J79</f>
        <v>2280164.6</v>
      </c>
      <c r="H8" s="356">
        <f>M79</f>
        <v>4503814.5999999996</v>
      </c>
      <c r="I8" s="356">
        <f>P79</f>
        <v>7283377.0999999996</v>
      </c>
      <c r="J8" s="384"/>
      <c r="K8" s="384"/>
      <c r="L8" s="384"/>
      <c r="M8" s="384"/>
      <c r="N8" s="384"/>
      <c r="O8" s="384"/>
      <c r="P8" s="511"/>
      <c r="Q8" s="513"/>
      <c r="R8" s="513"/>
      <c r="S8" s="513"/>
      <c r="T8" s="513"/>
      <c r="U8" s="384"/>
      <c r="V8" s="384"/>
    </row>
    <row r="9" spans="1:22" s="56" customFormat="1" x14ac:dyDescent="0.35">
      <c r="A9" s="384"/>
      <c r="B9" s="347" t="s">
        <v>66</v>
      </c>
      <c r="C9" s="384"/>
      <c r="D9" s="384" t="s">
        <v>47</v>
      </c>
      <c r="E9" s="384"/>
      <c r="F9" s="356">
        <f>G96</f>
        <v>255202.5</v>
      </c>
      <c r="G9" s="356">
        <f>J96</f>
        <v>916275</v>
      </c>
      <c r="H9" s="356">
        <f>M96</f>
        <v>3854375</v>
      </c>
      <c r="I9" s="356">
        <f>P96</f>
        <v>7527000</v>
      </c>
      <c r="J9" s="384"/>
      <c r="K9" s="384"/>
      <c r="L9" s="384"/>
      <c r="M9" s="384"/>
      <c r="N9" s="384"/>
      <c r="O9" s="384"/>
      <c r="P9" s="511"/>
      <c r="Q9" s="513"/>
      <c r="R9" s="513"/>
      <c r="S9" s="513"/>
      <c r="T9" s="513"/>
      <c r="U9" s="384"/>
      <c r="V9" s="384"/>
    </row>
    <row r="10" spans="1:22" s="56" customFormat="1" x14ac:dyDescent="0.35">
      <c r="A10" s="384"/>
      <c r="B10" s="347" t="s">
        <v>67</v>
      </c>
      <c r="C10" s="384"/>
      <c r="D10" s="384" t="s">
        <v>48</v>
      </c>
      <c r="E10" s="384"/>
      <c r="F10" s="356">
        <f>F104</f>
        <v>255202.5</v>
      </c>
      <c r="G10" s="356">
        <f>G104</f>
        <v>916275</v>
      </c>
      <c r="H10" s="356">
        <f>H104</f>
        <v>3854375</v>
      </c>
      <c r="I10" s="356">
        <f>I104</f>
        <v>7527000</v>
      </c>
      <c r="J10" s="384"/>
      <c r="K10" s="384"/>
      <c r="L10" s="384"/>
      <c r="M10" s="384"/>
      <c r="N10" s="384"/>
      <c r="O10" s="384"/>
      <c r="P10" s="384"/>
      <c r="Q10" s="384"/>
      <c r="R10" s="384"/>
      <c r="S10" s="384"/>
      <c r="T10" s="384"/>
      <c r="U10" s="384"/>
      <c r="V10" s="384"/>
    </row>
    <row r="11" spans="1:22" s="56" customFormat="1" x14ac:dyDescent="0.35">
      <c r="A11" s="384"/>
      <c r="B11" s="384"/>
      <c r="C11" s="384"/>
      <c r="D11" s="384"/>
      <c r="E11" s="384"/>
      <c r="F11" s="384"/>
      <c r="G11" s="384"/>
      <c r="H11" s="384"/>
      <c r="I11" s="384"/>
      <c r="J11" s="384"/>
      <c r="K11" s="384"/>
      <c r="L11" s="384"/>
      <c r="M11" s="384"/>
      <c r="N11" s="384"/>
      <c r="O11" s="384"/>
      <c r="P11" s="384"/>
      <c r="Q11" s="384"/>
      <c r="R11" s="384"/>
      <c r="S11" s="384"/>
      <c r="T11" s="384"/>
      <c r="U11" s="384"/>
      <c r="V11" s="384"/>
    </row>
    <row r="12" spans="1:22" s="516" customFormat="1" x14ac:dyDescent="0.35">
      <c r="A12" s="435"/>
      <c r="B12" s="334" t="s">
        <v>70</v>
      </c>
      <c r="C12" s="334"/>
      <c r="D12" s="334"/>
      <c r="E12" s="334"/>
      <c r="F12" s="338">
        <f>SUM(F5:F10)</f>
        <v>5908522.3300000001</v>
      </c>
      <c r="G12" s="338">
        <f t="shared" ref="G12:I12" si="1">SUM(G5:G10)</f>
        <v>9081973.1555555556</v>
      </c>
      <c r="H12" s="338">
        <f t="shared" si="1"/>
        <v>21531225.377777778</v>
      </c>
      <c r="I12" s="338">
        <f t="shared" si="1"/>
        <v>37859590.655555554</v>
      </c>
      <c r="J12" s="435"/>
      <c r="K12" s="435"/>
      <c r="L12" s="435"/>
      <c r="M12" s="435"/>
      <c r="N12" s="435"/>
      <c r="O12" s="435"/>
      <c r="P12" s="435"/>
      <c r="Q12" s="435"/>
      <c r="R12" s="435"/>
      <c r="S12" s="435"/>
      <c r="T12" s="435"/>
      <c r="U12" s="435"/>
      <c r="V12" s="435"/>
    </row>
    <row r="13" spans="1:22" s="56" customFormat="1" x14ac:dyDescent="0.35">
      <c r="A13" s="384"/>
      <c r="B13" s="384"/>
      <c r="C13" s="384"/>
      <c r="D13" s="384"/>
      <c r="E13" s="384"/>
      <c r="F13" s="384"/>
      <c r="G13" s="384"/>
      <c r="H13" s="384"/>
      <c r="I13" s="384"/>
      <c r="J13" s="353"/>
      <c r="K13" s="353"/>
      <c r="L13" s="353"/>
      <c r="M13" s="353"/>
      <c r="N13" s="353"/>
      <c r="O13" s="353"/>
      <c r="P13" s="384"/>
      <c r="Q13" s="384"/>
      <c r="R13" s="384"/>
      <c r="S13" s="384"/>
      <c r="T13" s="384"/>
      <c r="U13" s="384"/>
      <c r="V13" s="384"/>
    </row>
    <row r="14" spans="1:22" s="11" customFormat="1" x14ac:dyDescent="0.35">
      <c r="A14" s="384"/>
      <c r="B14" s="384"/>
      <c r="C14" s="384"/>
      <c r="D14" s="384"/>
      <c r="E14" s="384"/>
      <c r="F14" s="335"/>
      <c r="G14" s="355" t="s">
        <v>271</v>
      </c>
      <c r="H14" s="335" t="s">
        <v>59</v>
      </c>
      <c r="I14" s="382"/>
      <c r="K14" s="353"/>
      <c r="L14" s="353"/>
      <c r="M14" s="353"/>
      <c r="N14" s="353"/>
      <c r="O14" s="353"/>
      <c r="P14" s="384"/>
      <c r="Q14" s="384"/>
      <c r="R14" s="384"/>
      <c r="S14" s="384"/>
      <c r="T14" s="384"/>
      <c r="U14" s="384"/>
      <c r="V14" s="384"/>
    </row>
    <row r="15" spans="1:22" s="11" customFormat="1" x14ac:dyDescent="0.35">
      <c r="A15" s="345" t="s">
        <v>62</v>
      </c>
      <c r="B15" s="345" t="s">
        <v>78</v>
      </c>
      <c r="C15" s="384"/>
      <c r="D15" s="384"/>
      <c r="F15" s="571">
        <v>1</v>
      </c>
      <c r="G15" s="571">
        <v>10</v>
      </c>
      <c r="H15" s="571">
        <v>50</v>
      </c>
      <c r="I15" s="571">
        <v>100</v>
      </c>
      <c r="K15" s="353"/>
      <c r="L15" s="353"/>
      <c r="M15" s="353"/>
      <c r="N15" s="353"/>
      <c r="O15" s="353"/>
      <c r="P15" s="384"/>
      <c r="Q15" s="384"/>
      <c r="R15" s="384"/>
      <c r="S15" s="384"/>
      <c r="T15" s="384"/>
      <c r="U15" s="384"/>
      <c r="V15" s="384"/>
    </row>
    <row r="16" spans="1:22" s="516" customFormat="1" x14ac:dyDescent="0.35">
      <c r="A16" s="345"/>
      <c r="B16" s="345"/>
      <c r="C16" s="435"/>
      <c r="D16" s="435"/>
      <c r="F16" s="342"/>
      <c r="G16" s="355"/>
      <c r="H16" s="355"/>
      <c r="I16" s="355"/>
      <c r="K16" s="353"/>
      <c r="L16" s="353"/>
      <c r="M16" s="353"/>
      <c r="N16" s="353"/>
      <c r="O16" s="353"/>
      <c r="P16" s="435"/>
      <c r="Q16" s="435"/>
      <c r="R16" s="435"/>
      <c r="S16" s="435"/>
      <c r="T16" s="435"/>
      <c r="U16" s="435"/>
      <c r="V16" s="435"/>
    </row>
    <row r="17" spans="1:22" s="516" customFormat="1" x14ac:dyDescent="0.35">
      <c r="A17" s="345"/>
      <c r="B17" s="435" t="s">
        <v>298</v>
      </c>
      <c r="C17" s="435"/>
      <c r="D17" s="435"/>
      <c r="F17" s="572">
        <v>29750</v>
      </c>
      <c r="G17" s="572">
        <f>F17*G15</f>
        <v>297500</v>
      </c>
      <c r="H17" s="572">
        <f>F17*H15</f>
        <v>1487500</v>
      </c>
      <c r="I17" s="572">
        <f>F17*I15</f>
        <v>2975000</v>
      </c>
      <c r="K17" s="353"/>
      <c r="L17" s="353"/>
      <c r="M17" s="353"/>
      <c r="N17" s="353"/>
      <c r="O17" s="353"/>
      <c r="P17" s="435"/>
      <c r="Q17" s="435"/>
      <c r="R17" s="435"/>
      <c r="S17" s="435"/>
      <c r="T17" s="435"/>
      <c r="U17" s="435"/>
      <c r="V17" s="435"/>
    </row>
    <row r="18" spans="1:22" s="516" customFormat="1" x14ac:dyDescent="0.35">
      <c r="A18" s="345"/>
      <c r="B18" s="435" t="s">
        <v>297</v>
      </c>
      <c r="C18" s="435"/>
      <c r="D18" s="435"/>
      <c r="F18" s="342"/>
      <c r="G18" s="355"/>
      <c r="H18" s="355"/>
      <c r="I18" s="355"/>
      <c r="K18" s="353"/>
      <c r="L18" s="353"/>
      <c r="M18" s="353"/>
      <c r="N18" s="353"/>
      <c r="O18" s="353"/>
      <c r="P18" s="435"/>
      <c r="Q18" s="435"/>
      <c r="R18" s="435"/>
      <c r="S18" s="435"/>
      <c r="T18" s="435"/>
      <c r="U18" s="435"/>
      <c r="V18" s="435"/>
    </row>
    <row r="19" spans="1:22" s="69" customFormat="1" x14ac:dyDescent="0.35">
      <c r="A19" s="384"/>
      <c r="B19" s="384"/>
      <c r="C19" s="435"/>
      <c r="D19" s="435"/>
      <c r="E19" s="435"/>
      <c r="F19" s="435"/>
      <c r="G19" s="435"/>
      <c r="H19" s="435"/>
      <c r="I19" s="435"/>
      <c r="K19" s="353"/>
      <c r="L19" s="353"/>
      <c r="M19" s="353"/>
      <c r="N19" s="353"/>
      <c r="O19" s="353"/>
      <c r="P19" s="384"/>
      <c r="Q19" s="384"/>
      <c r="R19" s="384"/>
      <c r="S19" s="384"/>
      <c r="T19" s="384"/>
      <c r="U19" s="384"/>
      <c r="V19" s="384"/>
    </row>
    <row r="20" spans="1:22" s="69" customFormat="1" x14ac:dyDescent="0.35">
      <c r="A20" s="384"/>
      <c r="B20" s="334" t="s">
        <v>70</v>
      </c>
      <c r="C20" s="334"/>
      <c r="D20" s="334"/>
      <c r="E20" s="334"/>
      <c r="F20" s="338">
        <f>SUM(F17:F18)</f>
        <v>29750</v>
      </c>
      <c r="G20" s="338">
        <f t="shared" ref="G20:I20" si="2">SUM(G17:G18)</f>
        <v>297500</v>
      </c>
      <c r="H20" s="338">
        <f t="shared" si="2"/>
        <v>1487500</v>
      </c>
      <c r="I20" s="338">
        <f t="shared" si="2"/>
        <v>2975000</v>
      </c>
      <c r="K20" s="353"/>
      <c r="L20" s="353"/>
      <c r="M20" s="353"/>
      <c r="N20" s="353"/>
      <c r="O20" s="353"/>
      <c r="P20" s="384"/>
      <c r="Q20" s="384"/>
      <c r="R20" s="384"/>
      <c r="S20" s="384"/>
      <c r="T20" s="384"/>
      <c r="U20" s="384"/>
      <c r="V20" s="384"/>
    </row>
    <row r="21" spans="1:22" s="69" customFormat="1" x14ac:dyDescent="0.35">
      <c r="A21" s="384"/>
      <c r="B21" s="384"/>
      <c r="C21" s="384"/>
      <c r="D21" s="384"/>
      <c r="E21" s="384"/>
      <c r="F21" s="335"/>
      <c r="G21" s="335"/>
      <c r="H21" s="335"/>
      <c r="I21" s="382"/>
      <c r="K21" s="340"/>
      <c r="L21" s="340"/>
      <c r="M21" s="340"/>
      <c r="N21" s="340"/>
      <c r="O21" s="353"/>
      <c r="P21" s="384"/>
      <c r="Q21" s="384"/>
      <c r="R21" s="384"/>
      <c r="S21" s="384"/>
      <c r="T21" s="384"/>
      <c r="U21" s="384"/>
      <c r="V21" s="384"/>
    </row>
    <row r="22" spans="1:22" s="11" customFormat="1" x14ac:dyDescent="0.35">
      <c r="A22" s="384"/>
      <c r="B22" s="384"/>
      <c r="C22" s="384"/>
      <c r="D22" s="384"/>
      <c r="E22" s="451"/>
      <c r="F22" s="516"/>
      <c r="G22" s="102" t="s">
        <v>271</v>
      </c>
      <c r="H22" s="413" t="s">
        <v>59</v>
      </c>
      <c r="I22" s="413"/>
      <c r="K22" s="451"/>
      <c r="L22" s="451"/>
      <c r="M22" s="451"/>
      <c r="N22" s="451"/>
      <c r="O22" s="451"/>
      <c r="P22" s="451"/>
      <c r="Q22" s="451"/>
      <c r="R22" s="451"/>
      <c r="S22" s="451"/>
      <c r="T22" s="451"/>
      <c r="U22" s="451"/>
      <c r="V22" s="451"/>
    </row>
    <row r="23" spans="1:22" s="11" customFormat="1" x14ac:dyDescent="0.35">
      <c r="A23" s="454" t="s">
        <v>63</v>
      </c>
      <c r="B23" s="345" t="s">
        <v>236</v>
      </c>
      <c r="C23" s="384"/>
      <c r="D23" s="384"/>
      <c r="E23" s="451"/>
      <c r="F23" s="571">
        <v>1</v>
      </c>
      <c r="G23" s="571">
        <v>10</v>
      </c>
      <c r="H23" s="571">
        <v>50</v>
      </c>
      <c r="I23" s="571">
        <v>100</v>
      </c>
      <c r="K23" s="450"/>
      <c r="L23" s="450"/>
      <c r="M23" s="450"/>
      <c r="N23" s="450"/>
      <c r="O23" s="450"/>
      <c r="P23" s="450"/>
      <c r="Q23" s="441"/>
      <c r="R23" s="441"/>
      <c r="S23" s="450"/>
      <c r="T23" s="450"/>
      <c r="U23" s="450"/>
      <c r="V23" s="451"/>
    </row>
    <row r="24" spans="1:22" s="516" customFormat="1" x14ac:dyDescent="0.35">
      <c r="A24" s="454"/>
      <c r="B24" s="345"/>
      <c r="C24" s="435"/>
      <c r="D24" s="435"/>
      <c r="E24" s="451"/>
      <c r="F24" s="451"/>
      <c r="G24" s="342"/>
      <c r="H24" s="355"/>
      <c r="I24" s="355"/>
      <c r="J24" s="355"/>
      <c r="K24" s="450"/>
      <c r="L24" s="450"/>
      <c r="M24" s="450"/>
      <c r="N24" s="450"/>
      <c r="O24" s="450"/>
      <c r="P24" s="450"/>
      <c r="Q24" s="441"/>
      <c r="R24" s="441"/>
      <c r="S24" s="450"/>
      <c r="T24" s="450"/>
      <c r="U24" s="450"/>
      <c r="V24" s="451"/>
    </row>
    <row r="25" spans="1:22" s="516" customFormat="1" x14ac:dyDescent="0.35">
      <c r="B25" s="516" t="s">
        <v>299</v>
      </c>
      <c r="G25" s="413"/>
      <c r="H25" s="413"/>
      <c r="I25" s="413"/>
      <c r="J25" s="355"/>
      <c r="K25" s="450"/>
      <c r="L25" s="450"/>
      <c r="M25" s="450"/>
      <c r="N25" s="450"/>
      <c r="O25" s="450"/>
      <c r="P25" s="450"/>
      <c r="Q25" s="441"/>
      <c r="R25" s="441"/>
      <c r="S25" s="450"/>
      <c r="T25" s="450"/>
      <c r="U25" s="450"/>
      <c r="V25" s="451"/>
    </row>
    <row r="26" spans="1:22" s="516" customFormat="1" x14ac:dyDescent="0.35">
      <c r="B26" s="516" t="s">
        <v>300</v>
      </c>
      <c r="G26" s="413"/>
      <c r="H26" s="413"/>
      <c r="I26" s="413"/>
      <c r="J26" s="355"/>
      <c r="K26" s="450"/>
      <c r="L26" s="450"/>
      <c r="M26" s="450"/>
      <c r="N26" s="450"/>
      <c r="O26" s="450"/>
      <c r="P26" s="450"/>
      <c r="Q26" s="441"/>
      <c r="R26" s="441"/>
      <c r="S26" s="450"/>
      <c r="T26" s="450"/>
      <c r="U26" s="450"/>
      <c r="V26" s="451"/>
    </row>
    <row r="27" spans="1:22" s="516" customFormat="1" x14ac:dyDescent="0.35">
      <c r="B27" s="516" t="s">
        <v>301</v>
      </c>
      <c r="G27" s="413"/>
      <c r="H27" s="413"/>
      <c r="I27" s="413"/>
      <c r="J27" s="355"/>
      <c r="K27" s="450"/>
      <c r="L27" s="450"/>
      <c r="M27" s="450"/>
      <c r="N27" s="450"/>
      <c r="O27" s="450"/>
      <c r="P27" s="450"/>
      <c r="Q27" s="441"/>
      <c r="R27" s="441"/>
      <c r="S27" s="450"/>
      <c r="T27" s="450"/>
      <c r="U27" s="450"/>
      <c r="V27" s="451"/>
    </row>
    <row r="28" spans="1:22" s="516" customFormat="1" x14ac:dyDescent="0.35">
      <c r="B28" s="573" t="s">
        <v>302</v>
      </c>
      <c r="G28" s="413"/>
      <c r="H28" s="413"/>
      <c r="I28" s="413"/>
      <c r="J28" s="355"/>
      <c r="K28" s="450"/>
      <c r="L28" s="450"/>
      <c r="M28" s="450"/>
      <c r="N28" s="450"/>
      <c r="O28" s="450"/>
      <c r="P28" s="450"/>
      <c r="Q28" s="441"/>
      <c r="R28" s="441"/>
      <c r="S28" s="450"/>
      <c r="T28" s="450"/>
      <c r="U28" s="450"/>
      <c r="V28" s="451"/>
    </row>
    <row r="29" spans="1:22" s="516" customFormat="1" x14ac:dyDescent="0.35">
      <c r="B29" s="573" t="s">
        <v>303</v>
      </c>
      <c r="G29" s="413"/>
      <c r="H29" s="413"/>
      <c r="I29" s="413"/>
      <c r="J29" s="355"/>
      <c r="K29" s="450"/>
      <c r="L29" s="450"/>
      <c r="M29" s="450"/>
      <c r="N29" s="450"/>
      <c r="O29" s="450"/>
      <c r="P29" s="450"/>
      <c r="Q29" s="441"/>
      <c r="R29" s="441"/>
      <c r="S29" s="450"/>
      <c r="T29" s="450"/>
      <c r="U29" s="450"/>
      <c r="V29" s="451"/>
    </row>
    <row r="30" spans="1:22" s="516" customFormat="1" x14ac:dyDescent="0.35">
      <c r="B30" s="573" t="s">
        <v>308</v>
      </c>
      <c r="G30" s="413"/>
      <c r="H30" s="413"/>
      <c r="I30" s="413"/>
      <c r="J30" s="355"/>
      <c r="K30" s="450"/>
      <c r="L30" s="450"/>
      <c r="M30" s="450"/>
      <c r="N30" s="450"/>
      <c r="O30" s="450"/>
      <c r="P30" s="450"/>
      <c r="Q30" s="441"/>
      <c r="R30" s="441"/>
      <c r="S30" s="450"/>
      <c r="T30" s="450"/>
      <c r="U30" s="450"/>
      <c r="V30" s="451"/>
    </row>
    <row r="31" spans="1:22" s="516" customFormat="1" x14ac:dyDescent="0.35">
      <c r="B31" s="573" t="s">
        <v>306</v>
      </c>
      <c r="G31" s="413"/>
      <c r="H31" s="413"/>
      <c r="I31" s="413"/>
      <c r="J31" s="355"/>
      <c r="K31" s="450"/>
      <c r="L31" s="450"/>
      <c r="M31" s="450"/>
      <c r="N31" s="450"/>
      <c r="O31" s="450"/>
      <c r="P31" s="450"/>
      <c r="Q31" s="441"/>
      <c r="R31" s="441"/>
      <c r="S31" s="450"/>
      <c r="T31" s="450"/>
      <c r="U31" s="450"/>
      <c r="V31" s="451"/>
    </row>
    <row r="32" spans="1:22" s="516" customFormat="1" x14ac:dyDescent="0.35">
      <c r="B32" s="573" t="s">
        <v>304</v>
      </c>
      <c r="G32" s="413"/>
      <c r="H32" s="413"/>
      <c r="I32" s="413"/>
      <c r="J32" s="575"/>
      <c r="K32" s="450"/>
      <c r="L32" s="450"/>
      <c r="M32" s="450"/>
      <c r="N32" s="450"/>
      <c r="O32" s="450"/>
      <c r="P32" s="450"/>
      <c r="Q32" s="441"/>
      <c r="R32" s="441"/>
      <c r="S32" s="450"/>
      <c r="T32" s="450"/>
      <c r="U32" s="450"/>
      <c r="V32" s="451"/>
    </row>
    <row r="33" spans="1:22" s="455" customFormat="1" x14ac:dyDescent="0.35">
      <c r="A33" s="516"/>
      <c r="B33" s="573"/>
      <c r="C33" s="516"/>
      <c r="D33" s="516"/>
      <c r="E33" s="516"/>
      <c r="F33" s="433"/>
      <c r="G33" s="102"/>
      <c r="H33" s="102"/>
      <c r="I33" s="102"/>
      <c r="J33" s="353"/>
      <c r="K33" s="450"/>
      <c r="L33" s="450"/>
      <c r="M33" s="450"/>
      <c r="N33" s="450"/>
      <c r="O33" s="450"/>
      <c r="P33" s="450"/>
      <c r="Q33" s="441"/>
      <c r="R33" s="441"/>
      <c r="S33" s="450"/>
      <c r="T33" s="450"/>
      <c r="U33" s="450"/>
      <c r="V33" s="451"/>
    </row>
    <row r="34" spans="1:22" s="11" customFormat="1" x14ac:dyDescent="0.35">
      <c r="A34" s="516"/>
      <c r="B34" s="305" t="s">
        <v>305</v>
      </c>
      <c r="C34" s="305"/>
      <c r="D34" s="305"/>
      <c r="E34" s="305"/>
      <c r="F34" s="574">
        <v>667000</v>
      </c>
      <c r="G34" s="574">
        <v>767200</v>
      </c>
      <c r="H34" s="574">
        <f>G34</f>
        <v>767200</v>
      </c>
      <c r="I34" s="574">
        <v>1534000</v>
      </c>
      <c r="J34" s="351"/>
      <c r="K34" s="450"/>
      <c r="L34" s="450"/>
      <c r="M34" s="450"/>
      <c r="N34" s="450"/>
      <c r="O34" s="450"/>
      <c r="P34" s="450"/>
      <c r="Q34" s="441"/>
      <c r="R34" s="449"/>
      <c r="S34" s="448"/>
      <c r="T34" s="450"/>
      <c r="U34" s="450"/>
      <c r="V34" s="451"/>
    </row>
    <row r="35" spans="1:22" x14ac:dyDescent="0.35">
      <c r="A35" s="384"/>
      <c r="B35" s="353"/>
      <c r="C35" s="353"/>
      <c r="D35" s="353"/>
      <c r="E35" s="353"/>
      <c r="F35" s="353"/>
      <c r="G35" s="353"/>
      <c r="H35" s="353"/>
      <c r="I35" s="353"/>
      <c r="J35" s="353"/>
      <c r="K35" s="381"/>
      <c r="L35" s="353"/>
      <c r="M35" s="353"/>
      <c r="N35" s="353"/>
      <c r="O35" s="353"/>
      <c r="P35" s="353"/>
      <c r="Q35" s="353"/>
      <c r="R35" s="353"/>
      <c r="S35" s="353"/>
      <c r="T35" s="353"/>
      <c r="U35" s="353"/>
      <c r="V35" s="384"/>
    </row>
    <row r="36" spans="1:22" s="331" customFormat="1" x14ac:dyDescent="0.35">
      <c r="A36" s="384"/>
      <c r="B36" s="353"/>
      <c r="C36" s="353"/>
      <c r="D36" s="353"/>
      <c r="E36" s="353"/>
      <c r="F36" s="516"/>
      <c r="G36" s="102" t="s">
        <v>271</v>
      </c>
      <c r="H36" s="413" t="s">
        <v>59</v>
      </c>
      <c r="I36" s="413"/>
      <c r="J36" s="353"/>
      <c r="K36" s="381"/>
      <c r="L36" s="353"/>
      <c r="M36" s="353"/>
      <c r="N36" s="353"/>
      <c r="O36" s="353"/>
      <c r="P36" s="353"/>
      <c r="Q36" s="353"/>
      <c r="R36" s="353"/>
      <c r="S36" s="353"/>
      <c r="T36" s="353"/>
      <c r="U36" s="353"/>
      <c r="V36" s="384"/>
    </row>
    <row r="37" spans="1:22" s="330" customFormat="1" x14ac:dyDescent="0.35">
      <c r="A37" s="454" t="s">
        <v>64</v>
      </c>
      <c r="B37" s="345" t="s">
        <v>235</v>
      </c>
      <c r="C37" s="384"/>
      <c r="D37" s="384"/>
      <c r="E37" s="354"/>
      <c r="F37" s="571">
        <v>1</v>
      </c>
      <c r="G37" s="571">
        <v>10</v>
      </c>
      <c r="H37" s="571">
        <v>50</v>
      </c>
      <c r="I37" s="571">
        <v>100</v>
      </c>
      <c r="K37" s="450"/>
      <c r="L37" s="354"/>
      <c r="M37" s="384"/>
      <c r="N37" s="384"/>
      <c r="O37" s="384"/>
      <c r="P37" s="384"/>
      <c r="Q37" s="384"/>
      <c r="R37" s="384"/>
      <c r="S37" s="384"/>
      <c r="T37" s="384"/>
      <c r="U37" s="384"/>
      <c r="V37" s="384"/>
    </row>
    <row r="38" spans="1:22" s="516" customFormat="1" x14ac:dyDescent="0.35">
      <c r="A38" s="454"/>
      <c r="B38" s="345"/>
      <c r="C38" s="435"/>
      <c r="D38" s="435"/>
      <c r="E38" s="354"/>
      <c r="F38" s="342"/>
      <c r="G38" s="355"/>
      <c r="H38" s="355"/>
      <c r="I38" s="355"/>
      <c r="K38" s="450"/>
      <c r="L38" s="354"/>
      <c r="M38" s="435"/>
      <c r="N38" s="435"/>
      <c r="O38" s="435"/>
      <c r="P38" s="435"/>
      <c r="Q38" s="435"/>
      <c r="R38" s="435"/>
      <c r="S38" s="435"/>
      <c r="T38" s="435"/>
      <c r="U38" s="435"/>
      <c r="V38" s="435"/>
    </row>
    <row r="39" spans="1:22" s="516" customFormat="1" x14ac:dyDescent="0.35">
      <c r="A39" s="454"/>
      <c r="B39" s="435" t="s">
        <v>299</v>
      </c>
      <c r="C39" s="435"/>
      <c r="D39" s="435"/>
      <c r="E39" s="354"/>
      <c r="F39" s="342"/>
      <c r="G39" s="355"/>
      <c r="H39" s="355"/>
      <c r="I39" s="355"/>
      <c r="K39" s="450"/>
      <c r="L39" s="354"/>
      <c r="M39" s="435"/>
      <c r="N39" s="435"/>
      <c r="O39" s="435"/>
      <c r="P39" s="435"/>
      <c r="Q39" s="435"/>
      <c r="R39" s="435"/>
      <c r="S39" s="435"/>
      <c r="T39" s="435"/>
      <c r="U39" s="435"/>
      <c r="V39" s="435"/>
    </row>
    <row r="40" spans="1:22" s="516" customFormat="1" x14ac:dyDescent="0.35">
      <c r="A40" s="454"/>
      <c r="B40" s="435" t="s">
        <v>309</v>
      </c>
      <c r="C40" s="435"/>
      <c r="D40" s="435"/>
      <c r="E40" s="354"/>
      <c r="F40" s="342"/>
      <c r="G40" s="355"/>
      <c r="H40" s="355"/>
      <c r="I40" s="355"/>
      <c r="K40" s="450"/>
      <c r="L40" s="354"/>
      <c r="M40" s="435"/>
      <c r="N40" s="435"/>
      <c r="O40" s="435"/>
      <c r="P40" s="435"/>
      <c r="Q40" s="435"/>
      <c r="R40" s="435"/>
      <c r="S40" s="435"/>
      <c r="T40" s="435"/>
      <c r="U40" s="435"/>
      <c r="V40" s="435"/>
    </row>
    <row r="41" spans="1:22" s="516" customFormat="1" x14ac:dyDescent="0.35">
      <c r="A41" s="454"/>
      <c r="B41" s="345" t="s">
        <v>307</v>
      </c>
      <c r="C41" s="435"/>
      <c r="D41" s="435"/>
      <c r="E41" s="354"/>
      <c r="F41" s="342"/>
      <c r="G41" s="355"/>
      <c r="H41" s="355"/>
      <c r="I41" s="355"/>
      <c r="K41" s="450"/>
      <c r="L41" s="354"/>
      <c r="M41" s="435"/>
      <c r="N41" s="435"/>
      <c r="O41" s="435"/>
      <c r="P41" s="435"/>
      <c r="Q41" s="435"/>
      <c r="R41" s="435"/>
      <c r="S41" s="435"/>
      <c r="T41" s="435"/>
      <c r="U41" s="435"/>
      <c r="V41" s="435"/>
    </row>
    <row r="42" spans="1:22" s="516" customFormat="1" x14ac:dyDescent="0.35">
      <c r="A42" s="454"/>
      <c r="B42" s="435" t="s">
        <v>310</v>
      </c>
      <c r="C42" s="435"/>
      <c r="D42" s="435"/>
      <c r="E42" s="354"/>
      <c r="F42" s="342"/>
      <c r="G42" s="355"/>
      <c r="H42" s="355"/>
      <c r="I42" s="355"/>
      <c r="K42" s="450"/>
      <c r="L42" s="354"/>
      <c r="M42" s="435"/>
      <c r="N42" s="435"/>
      <c r="O42" s="435"/>
      <c r="P42" s="435"/>
      <c r="Q42" s="435"/>
      <c r="R42" s="435"/>
      <c r="S42" s="435"/>
      <c r="T42" s="435"/>
      <c r="U42" s="435"/>
      <c r="V42" s="435"/>
    </row>
    <row r="43" spans="1:22" s="516" customFormat="1" x14ac:dyDescent="0.35">
      <c r="A43" s="454"/>
      <c r="B43" s="345"/>
      <c r="C43" s="435"/>
      <c r="D43" s="435"/>
      <c r="E43" s="354"/>
      <c r="F43" s="577" t="s">
        <v>86</v>
      </c>
      <c r="G43" s="578"/>
      <c r="H43" s="578"/>
      <c r="I43" s="578" t="s">
        <v>75</v>
      </c>
      <c r="J43" s="560"/>
      <c r="K43" s="441"/>
      <c r="L43" s="579" t="s">
        <v>76</v>
      </c>
      <c r="M43" s="577"/>
      <c r="N43" s="577" t="s">
        <v>77</v>
      </c>
      <c r="O43" s="435"/>
      <c r="P43" s="435"/>
      <c r="Q43" s="435"/>
      <c r="R43" s="435"/>
      <c r="S43" s="435"/>
      <c r="T43" s="435"/>
      <c r="U43" s="435"/>
      <c r="V43" s="435"/>
    </row>
    <row r="44" spans="1:22" s="516" customFormat="1" x14ac:dyDescent="0.35">
      <c r="A44" s="454"/>
      <c r="B44" s="345"/>
      <c r="C44" s="435"/>
      <c r="D44" s="435"/>
      <c r="E44" s="576" t="s">
        <v>317</v>
      </c>
      <c r="F44" s="433" t="s">
        <v>316</v>
      </c>
      <c r="G44" s="342" t="s">
        <v>68</v>
      </c>
      <c r="H44" s="576" t="s">
        <v>317</v>
      </c>
      <c r="I44" s="433" t="s">
        <v>316</v>
      </c>
      <c r="J44" s="342" t="s">
        <v>68</v>
      </c>
      <c r="K44" s="576" t="s">
        <v>317</v>
      </c>
      <c r="L44" s="433" t="s">
        <v>316</v>
      </c>
      <c r="M44" s="342" t="s">
        <v>68</v>
      </c>
      <c r="N44" s="576" t="s">
        <v>317</v>
      </c>
      <c r="O44" s="433" t="s">
        <v>316</v>
      </c>
      <c r="P44" s="342" t="s">
        <v>68</v>
      </c>
      <c r="Q44" s="435"/>
      <c r="R44" s="435"/>
      <c r="S44" s="435"/>
      <c r="T44" s="435"/>
      <c r="U44" s="435"/>
      <c r="V44" s="435"/>
    </row>
    <row r="45" spans="1:22" s="516" customFormat="1" x14ac:dyDescent="0.35">
      <c r="A45" s="454"/>
      <c r="B45" s="435">
        <v>1</v>
      </c>
      <c r="C45" s="435" t="s">
        <v>337</v>
      </c>
      <c r="D45" s="435"/>
      <c r="E45" s="354">
        <v>45.83</v>
      </c>
      <c r="F45" s="426">
        <f>G45/E45</f>
        <v>58754.265764782896</v>
      </c>
      <c r="G45" s="572">
        <v>2692708</v>
      </c>
      <c r="H45" s="354">
        <v>45.83</v>
      </c>
      <c r="I45" s="426">
        <f>J45/H45</f>
        <v>58754.265764782896</v>
      </c>
      <c r="J45" s="572">
        <v>2692708</v>
      </c>
      <c r="K45" s="354">
        <v>45.83</v>
      </c>
      <c r="L45" s="426">
        <f>M45/K45</f>
        <v>58754.265764782896</v>
      </c>
      <c r="M45" s="572">
        <v>2692708</v>
      </c>
      <c r="N45" s="354">
        <v>45.83</v>
      </c>
      <c r="O45" s="426">
        <f>P45/N45</f>
        <v>58754.265764782896</v>
      </c>
      <c r="P45" s="572">
        <v>2692708</v>
      </c>
      <c r="Q45" s="435"/>
      <c r="R45" s="435"/>
      <c r="S45" s="435"/>
      <c r="T45" s="435"/>
      <c r="U45" s="435"/>
      <c r="V45" s="435"/>
    </row>
    <row r="46" spans="1:22" s="516" customFormat="1" x14ac:dyDescent="0.35">
      <c r="A46" s="454"/>
      <c r="B46" s="435">
        <v>2</v>
      </c>
      <c r="C46" s="435" t="s">
        <v>311</v>
      </c>
      <c r="D46" s="435"/>
      <c r="E46" s="354">
        <v>4</v>
      </c>
      <c r="G46" s="572">
        <v>422000</v>
      </c>
      <c r="H46" s="354">
        <v>4</v>
      </c>
      <c r="J46" s="572">
        <v>422000</v>
      </c>
      <c r="K46" s="354">
        <v>4</v>
      </c>
      <c r="M46" s="572">
        <v>422000</v>
      </c>
      <c r="N46" s="354">
        <v>4</v>
      </c>
      <c r="P46" s="572">
        <v>422000</v>
      </c>
      <c r="Q46" s="435"/>
      <c r="R46" s="435"/>
      <c r="S46" s="435"/>
      <c r="T46" s="435"/>
      <c r="U46" s="435"/>
      <c r="V46" s="435"/>
    </row>
    <row r="47" spans="1:22" s="516" customFormat="1" x14ac:dyDescent="0.35">
      <c r="A47" s="454"/>
      <c r="B47" s="435">
        <v>3</v>
      </c>
      <c r="C47" s="435" t="s">
        <v>312</v>
      </c>
      <c r="D47" s="435"/>
      <c r="E47" s="354"/>
      <c r="G47" s="572">
        <v>7350</v>
      </c>
      <c r="H47" s="355"/>
      <c r="I47" s="355"/>
      <c r="J47" s="426">
        <v>73500</v>
      </c>
      <c r="K47" s="354"/>
      <c r="M47" s="572">
        <f>J47*5</f>
        <v>367500</v>
      </c>
      <c r="N47" s="354"/>
      <c r="P47" s="572">
        <f>M47*2</f>
        <v>735000</v>
      </c>
      <c r="Q47" s="435"/>
      <c r="R47" s="435"/>
      <c r="S47" s="435"/>
      <c r="T47" s="435"/>
      <c r="U47" s="435"/>
      <c r="V47" s="435"/>
    </row>
    <row r="48" spans="1:22" s="516" customFormat="1" x14ac:dyDescent="0.35">
      <c r="A48" s="454"/>
      <c r="B48" s="435">
        <v>4</v>
      </c>
      <c r="C48" s="435" t="s">
        <v>313</v>
      </c>
      <c r="D48" s="435"/>
      <c r="E48" s="354">
        <v>0.37</v>
      </c>
      <c r="F48" s="426">
        <v>70485</v>
      </c>
      <c r="G48" s="572">
        <f>E48*F48</f>
        <v>26079.45</v>
      </c>
      <c r="H48" s="580">
        <v>3.666666666666667</v>
      </c>
      <c r="I48" s="426">
        <v>70485</v>
      </c>
      <c r="J48" s="426">
        <f>H48*I48</f>
        <v>258445.00000000003</v>
      </c>
      <c r="K48" s="582">
        <f>H48*5</f>
        <v>18.333333333333336</v>
      </c>
      <c r="L48" s="426">
        <v>70485</v>
      </c>
      <c r="M48" s="581">
        <f>K48*L48</f>
        <v>1292225.0000000002</v>
      </c>
      <c r="N48" s="583">
        <f>K48*2</f>
        <v>36.666666666666671</v>
      </c>
      <c r="O48" s="581">
        <v>70485</v>
      </c>
      <c r="P48" s="581">
        <f>N48*O48</f>
        <v>2584450.0000000005</v>
      </c>
      <c r="Q48" s="435"/>
      <c r="R48" s="435"/>
      <c r="S48" s="435"/>
      <c r="T48" s="435"/>
      <c r="U48" s="435"/>
      <c r="V48" s="435"/>
    </row>
    <row r="49" spans="1:22" s="516" customFormat="1" x14ac:dyDescent="0.35">
      <c r="A49" s="454"/>
      <c r="B49" s="435">
        <v>5</v>
      </c>
      <c r="C49" s="435" t="s">
        <v>314</v>
      </c>
      <c r="D49" s="435"/>
      <c r="E49" s="354">
        <v>0.24</v>
      </c>
      <c r="F49" s="426">
        <v>76610</v>
      </c>
      <c r="G49" s="572">
        <f t="shared" ref="G49:G50" si="3">E49*F49</f>
        <v>18386.399999999998</v>
      </c>
      <c r="H49" s="580">
        <v>2.4444444444444446</v>
      </c>
      <c r="I49" s="426">
        <v>76610</v>
      </c>
      <c r="J49" s="426">
        <f t="shared" ref="J49:J50" si="4">H49*I49</f>
        <v>187268.88888888891</v>
      </c>
      <c r="K49" s="582">
        <f t="shared" ref="K49:K50" si="5">H49*5</f>
        <v>12.222222222222223</v>
      </c>
      <c r="L49" s="426">
        <v>76610</v>
      </c>
      <c r="M49" s="581">
        <f t="shared" ref="M49:M50" si="6">K49*L49</f>
        <v>936344.4444444445</v>
      </c>
      <c r="N49" s="583">
        <f t="shared" ref="N49:N50" si="7">K49*2</f>
        <v>24.444444444444446</v>
      </c>
      <c r="O49" s="581">
        <v>76610</v>
      </c>
      <c r="P49" s="581">
        <f t="shared" ref="P49:P50" si="8">N49*O49</f>
        <v>1872688.888888889</v>
      </c>
      <c r="Q49" s="435"/>
      <c r="R49" s="435"/>
      <c r="S49" s="435"/>
      <c r="T49" s="435"/>
      <c r="U49" s="435"/>
      <c r="V49" s="435"/>
    </row>
    <row r="50" spans="1:22" s="516" customFormat="1" x14ac:dyDescent="0.35">
      <c r="A50" s="454"/>
      <c r="B50" s="435">
        <v>6</v>
      </c>
      <c r="C50" s="435" t="s">
        <v>315</v>
      </c>
      <c r="D50" s="435"/>
      <c r="E50" s="354">
        <v>0.37</v>
      </c>
      <c r="F50" s="426">
        <v>73810</v>
      </c>
      <c r="G50" s="572">
        <f t="shared" si="3"/>
        <v>27309.7</v>
      </c>
      <c r="H50" s="580">
        <v>3.666666666666667</v>
      </c>
      <c r="I50" s="426">
        <v>73810</v>
      </c>
      <c r="J50" s="426">
        <f t="shared" si="4"/>
        <v>270636.66666666669</v>
      </c>
      <c r="K50" s="582">
        <f t="shared" si="5"/>
        <v>18.333333333333336</v>
      </c>
      <c r="L50" s="426">
        <v>73810</v>
      </c>
      <c r="M50" s="581">
        <f t="shared" si="6"/>
        <v>1353183.3333333335</v>
      </c>
      <c r="N50" s="583">
        <f t="shared" si="7"/>
        <v>36.666666666666671</v>
      </c>
      <c r="O50" s="581">
        <v>73810</v>
      </c>
      <c r="P50" s="581">
        <f t="shared" si="8"/>
        <v>2706366.666666667</v>
      </c>
      <c r="Q50" s="435"/>
      <c r="R50" s="435"/>
      <c r="S50" s="435"/>
      <c r="T50" s="435"/>
      <c r="U50" s="435"/>
      <c r="V50" s="435"/>
    </row>
    <row r="51" spans="1:22" s="516" customFormat="1" x14ac:dyDescent="0.35">
      <c r="A51" s="454"/>
      <c r="B51" s="345"/>
      <c r="C51" s="435"/>
      <c r="D51" s="435"/>
      <c r="E51" s="354"/>
      <c r="F51" s="342"/>
      <c r="G51" s="355"/>
      <c r="H51" s="355"/>
      <c r="I51" s="355"/>
      <c r="K51" s="450"/>
      <c r="L51" s="354"/>
      <c r="M51" s="435"/>
      <c r="N51" s="435"/>
      <c r="O51" s="435"/>
      <c r="P51" s="435"/>
      <c r="Q51" s="435"/>
      <c r="R51" s="435"/>
      <c r="S51" s="435"/>
      <c r="T51" s="435"/>
      <c r="U51" s="435"/>
      <c r="V51" s="435"/>
    </row>
    <row r="52" spans="1:22" s="516" customFormat="1" x14ac:dyDescent="0.35">
      <c r="A52" s="454"/>
      <c r="B52" s="334" t="s">
        <v>70</v>
      </c>
      <c r="C52" s="334"/>
      <c r="D52" s="334"/>
      <c r="E52" s="584">
        <f>SUM(E45:E50)</f>
        <v>50.809999999999995</v>
      </c>
      <c r="F52" s="584"/>
      <c r="G52" s="585">
        <f t="shared" ref="G52:P52" si="9">SUM(G45:G50)</f>
        <v>3193833.5500000003</v>
      </c>
      <c r="H52" s="585">
        <f t="shared" si="9"/>
        <v>59.60777777777777</v>
      </c>
      <c r="I52" s="585"/>
      <c r="J52" s="585">
        <f t="shared" si="9"/>
        <v>3904558.5555555555</v>
      </c>
      <c r="K52" s="586">
        <f t="shared" si="9"/>
        <v>98.718888888888898</v>
      </c>
      <c r="L52" s="585"/>
      <c r="M52" s="585">
        <f t="shared" si="9"/>
        <v>7063960.777777778</v>
      </c>
      <c r="N52" s="586">
        <f t="shared" si="9"/>
        <v>147.60777777777778</v>
      </c>
      <c r="O52" s="585"/>
      <c r="P52" s="585">
        <f t="shared" si="9"/>
        <v>11013213.555555556</v>
      </c>
      <c r="Q52" s="435"/>
      <c r="R52" s="435"/>
      <c r="S52" s="435"/>
      <c r="T52" s="435"/>
      <c r="U52" s="435"/>
      <c r="V52" s="435"/>
    </row>
    <row r="53" spans="1:22" s="516" customFormat="1" x14ac:dyDescent="0.35">
      <c r="A53" s="454"/>
      <c r="B53" s="345"/>
      <c r="C53" s="435"/>
      <c r="D53" s="435"/>
      <c r="E53" s="354"/>
      <c r="F53" s="342"/>
      <c r="G53" s="355"/>
      <c r="H53" s="355"/>
      <c r="I53" s="355"/>
      <c r="K53" s="450"/>
      <c r="L53" s="354"/>
      <c r="M53" s="435"/>
      <c r="N53" s="435"/>
      <c r="O53" s="435"/>
      <c r="P53" s="435"/>
      <c r="Q53" s="435"/>
      <c r="R53" s="435"/>
      <c r="S53" s="435"/>
      <c r="T53" s="435"/>
      <c r="U53" s="435"/>
      <c r="V53" s="435"/>
    </row>
    <row r="54" spans="1:22" x14ac:dyDescent="0.35">
      <c r="A54" s="384"/>
      <c r="B54" s="384"/>
      <c r="C54" s="353"/>
      <c r="D54" s="353"/>
      <c r="E54" s="451"/>
      <c r="F54" s="451"/>
      <c r="G54" s="451"/>
      <c r="H54" s="451"/>
      <c r="I54" s="451"/>
      <c r="J54" s="451"/>
      <c r="K54" s="451"/>
      <c r="L54" s="437"/>
      <c r="M54" s="351"/>
      <c r="N54" s="351"/>
      <c r="O54" s="351"/>
      <c r="P54" s="351"/>
      <c r="Q54" s="351"/>
      <c r="R54" s="351"/>
      <c r="S54" s="351"/>
      <c r="T54" s="351"/>
      <c r="U54" s="351"/>
      <c r="V54" s="384"/>
    </row>
    <row r="55" spans="1:22" s="11" customFormat="1" x14ac:dyDescent="0.35">
      <c r="A55" s="384"/>
      <c r="B55" s="384"/>
      <c r="C55" s="384"/>
      <c r="D55" s="384"/>
      <c r="E55" s="354"/>
      <c r="J55" s="354"/>
      <c r="K55" s="354"/>
      <c r="L55" s="333"/>
      <c r="M55" s="384"/>
      <c r="N55" s="384"/>
      <c r="O55" s="384"/>
      <c r="P55" s="384"/>
      <c r="Q55" s="384"/>
      <c r="R55" s="384"/>
      <c r="S55" s="384"/>
      <c r="T55" s="384"/>
      <c r="U55" s="384"/>
      <c r="V55" s="384"/>
    </row>
    <row r="56" spans="1:22" x14ac:dyDescent="0.35">
      <c r="A56" s="454" t="s">
        <v>65</v>
      </c>
      <c r="B56" s="345" t="s">
        <v>234</v>
      </c>
      <c r="C56" s="384"/>
      <c r="D56" s="384"/>
      <c r="E56" s="354"/>
      <c r="K56" s="354"/>
      <c r="L56" s="354"/>
      <c r="M56" s="384"/>
      <c r="N56" s="384"/>
      <c r="O56" s="384"/>
      <c r="P56" s="384"/>
      <c r="Q56" s="384"/>
      <c r="R56" s="384"/>
      <c r="S56" s="384"/>
      <c r="T56" s="384"/>
      <c r="U56" s="335"/>
      <c r="V56" s="384"/>
    </row>
    <row r="57" spans="1:22" s="516" customFormat="1" x14ac:dyDescent="0.35">
      <c r="A57" s="454"/>
      <c r="B57" s="345"/>
      <c r="C57" s="435"/>
      <c r="D57" s="435"/>
      <c r="E57" s="354"/>
      <c r="F57" s="342"/>
      <c r="G57" s="355"/>
      <c r="H57" s="355"/>
      <c r="I57" s="355"/>
      <c r="K57" s="354"/>
      <c r="L57" s="354"/>
      <c r="M57" s="435"/>
      <c r="N57" s="435"/>
      <c r="O57" s="435"/>
      <c r="P57" s="435"/>
      <c r="Q57" s="435"/>
      <c r="R57" s="435"/>
      <c r="S57" s="435"/>
      <c r="T57" s="435"/>
      <c r="U57" s="335"/>
      <c r="V57" s="435"/>
    </row>
    <row r="58" spans="1:22" s="516" customFormat="1" x14ac:dyDescent="0.35">
      <c r="A58" s="454"/>
      <c r="B58" s="435" t="s">
        <v>299</v>
      </c>
      <c r="C58" s="435"/>
      <c r="D58" s="435"/>
      <c r="E58" s="354"/>
      <c r="F58" s="342"/>
      <c r="G58" s="355"/>
      <c r="H58" s="355"/>
      <c r="I58" s="355"/>
      <c r="K58" s="354"/>
      <c r="L58" s="354"/>
      <c r="M58" s="435"/>
      <c r="N58" s="435"/>
      <c r="O58" s="435"/>
      <c r="P58" s="435"/>
      <c r="Q58" s="435"/>
      <c r="R58" s="435"/>
      <c r="S58" s="435"/>
      <c r="T58" s="435"/>
      <c r="U58" s="335"/>
      <c r="V58" s="435"/>
    </row>
    <row r="59" spans="1:22" s="516" customFormat="1" x14ac:dyDescent="0.35">
      <c r="A59" s="454"/>
      <c r="B59" s="435" t="s">
        <v>318</v>
      </c>
      <c r="C59" s="435"/>
      <c r="D59" s="435"/>
      <c r="E59" s="354"/>
      <c r="F59" s="342"/>
      <c r="G59" s="355"/>
      <c r="H59" s="355"/>
      <c r="I59" s="355"/>
      <c r="K59" s="354"/>
      <c r="L59" s="354"/>
      <c r="M59" s="435"/>
      <c r="N59" s="435"/>
      <c r="O59" s="435"/>
      <c r="P59" s="435"/>
      <c r="Q59" s="435"/>
      <c r="R59" s="435"/>
      <c r="S59" s="435"/>
      <c r="T59" s="435"/>
      <c r="U59" s="335"/>
      <c r="V59" s="435"/>
    </row>
    <row r="60" spans="1:22" s="516" customFormat="1" x14ac:dyDescent="0.35">
      <c r="A60" s="454"/>
      <c r="B60" s="435" t="s">
        <v>319</v>
      </c>
      <c r="C60" s="435"/>
      <c r="D60" s="435"/>
      <c r="E60" s="354"/>
      <c r="F60" s="342"/>
      <c r="G60" s="355"/>
      <c r="H60" s="355"/>
      <c r="I60" s="355"/>
      <c r="K60" s="354"/>
      <c r="L60" s="354"/>
      <c r="M60" s="435"/>
      <c r="N60" s="435"/>
      <c r="O60" s="435"/>
      <c r="P60" s="435"/>
      <c r="Q60" s="435"/>
      <c r="R60" s="435"/>
      <c r="S60" s="435"/>
      <c r="T60" s="435"/>
      <c r="U60" s="335"/>
      <c r="V60" s="435"/>
    </row>
    <row r="61" spans="1:22" s="516" customFormat="1" x14ac:dyDescent="0.35">
      <c r="A61" s="454"/>
      <c r="B61" s="435" t="s">
        <v>320</v>
      </c>
      <c r="C61" s="435"/>
      <c r="D61" s="435"/>
      <c r="E61" s="354"/>
      <c r="F61" s="342"/>
      <c r="G61" s="355"/>
      <c r="H61" s="355"/>
      <c r="I61" s="355"/>
      <c r="K61" s="354"/>
      <c r="L61" s="354"/>
      <c r="M61" s="435"/>
      <c r="N61" s="435"/>
      <c r="O61" s="435"/>
      <c r="P61" s="435"/>
      <c r="Q61" s="435"/>
      <c r="R61" s="435"/>
      <c r="S61" s="435"/>
      <c r="T61" s="435"/>
      <c r="U61" s="335"/>
      <c r="V61" s="435"/>
    </row>
    <row r="62" spans="1:22" s="516" customFormat="1" x14ac:dyDescent="0.35">
      <c r="A62" s="454"/>
      <c r="B62" s="435"/>
      <c r="C62" s="435"/>
      <c r="D62" s="435"/>
      <c r="E62" s="354"/>
      <c r="F62" s="342"/>
      <c r="G62" s="355"/>
      <c r="H62" s="355"/>
      <c r="I62" s="355"/>
      <c r="K62" s="354"/>
      <c r="L62" s="354"/>
      <c r="M62" s="435"/>
      <c r="N62" s="435"/>
      <c r="O62" s="435"/>
      <c r="P62" s="435"/>
      <c r="Q62" s="435"/>
      <c r="R62" s="435"/>
      <c r="S62" s="435"/>
      <c r="T62" s="435"/>
      <c r="U62" s="335"/>
      <c r="V62" s="435"/>
    </row>
    <row r="63" spans="1:22" s="516" customFormat="1" x14ac:dyDescent="0.35">
      <c r="A63" s="454"/>
      <c r="B63" s="435" t="s">
        <v>321</v>
      </c>
      <c r="C63" s="435"/>
      <c r="D63" s="435"/>
      <c r="E63" s="354"/>
      <c r="F63" s="342"/>
      <c r="G63" s="355"/>
      <c r="H63" s="355"/>
      <c r="I63" s="355"/>
      <c r="K63" s="354"/>
      <c r="L63" s="354"/>
      <c r="M63" s="435"/>
      <c r="N63" s="435"/>
      <c r="O63" s="435"/>
      <c r="P63" s="435"/>
      <c r="Q63" s="435"/>
      <c r="R63" s="435"/>
      <c r="S63" s="435"/>
      <c r="T63" s="435"/>
      <c r="U63" s="335"/>
      <c r="V63" s="435"/>
    </row>
    <row r="64" spans="1:22" s="516" customFormat="1" x14ac:dyDescent="0.35">
      <c r="A64" s="454"/>
      <c r="B64" s="435"/>
      <c r="C64" s="435" t="s">
        <v>322</v>
      </c>
      <c r="D64" s="581">
        <v>66350</v>
      </c>
      <c r="E64" s="354"/>
      <c r="F64" s="342"/>
      <c r="G64" s="355"/>
      <c r="H64" s="355"/>
      <c r="I64" s="355"/>
      <c r="K64" s="354"/>
      <c r="L64" s="354"/>
      <c r="M64" s="435"/>
      <c r="N64" s="435"/>
      <c r="O64" s="435"/>
      <c r="P64" s="435"/>
      <c r="Q64" s="435"/>
      <c r="R64" s="435"/>
      <c r="S64" s="435"/>
      <c r="T64" s="435"/>
      <c r="U64" s="335"/>
      <c r="V64" s="435"/>
    </row>
    <row r="65" spans="1:22" s="516" customFormat="1" x14ac:dyDescent="0.35">
      <c r="A65" s="454"/>
      <c r="B65" s="435"/>
      <c r="C65" s="435" t="s">
        <v>323</v>
      </c>
      <c r="D65" s="581">
        <v>75625</v>
      </c>
      <c r="E65" s="354"/>
      <c r="F65" s="342"/>
      <c r="G65" s="355"/>
      <c r="H65" s="355"/>
      <c r="I65" s="355"/>
      <c r="K65" s="354"/>
      <c r="L65" s="354"/>
      <c r="M65" s="435"/>
      <c r="N65" s="435"/>
      <c r="O65" s="435"/>
      <c r="P65" s="435"/>
      <c r="Q65" s="435"/>
      <c r="R65" s="435"/>
      <c r="S65" s="435"/>
      <c r="T65" s="435"/>
      <c r="U65" s="335"/>
      <c r="V65" s="435"/>
    </row>
    <row r="66" spans="1:22" s="516" customFormat="1" x14ac:dyDescent="0.35">
      <c r="A66" s="454"/>
      <c r="B66" s="435"/>
      <c r="C66" s="435" t="s">
        <v>324</v>
      </c>
      <c r="D66" s="581">
        <v>101275</v>
      </c>
      <c r="E66" s="354"/>
      <c r="F66" s="342"/>
      <c r="G66" s="355"/>
      <c r="H66" s="355"/>
      <c r="I66" s="355"/>
      <c r="K66" s="354"/>
      <c r="L66" s="354"/>
      <c r="M66" s="435"/>
      <c r="N66" s="435"/>
      <c r="O66" s="435"/>
      <c r="P66" s="435"/>
      <c r="Q66" s="435"/>
      <c r="R66" s="435"/>
      <c r="S66" s="435"/>
      <c r="T66" s="435"/>
      <c r="U66" s="335"/>
      <c r="V66" s="435"/>
    </row>
    <row r="67" spans="1:22" s="516" customFormat="1" x14ac:dyDescent="0.35">
      <c r="A67" s="454"/>
      <c r="B67" s="435"/>
      <c r="C67" s="435" t="s">
        <v>326</v>
      </c>
      <c r="D67" s="581">
        <v>101075</v>
      </c>
      <c r="E67" s="354"/>
      <c r="F67" s="342"/>
      <c r="G67" s="355"/>
      <c r="H67" s="355"/>
      <c r="I67" s="355"/>
      <c r="K67" s="354"/>
      <c r="L67" s="354"/>
      <c r="M67" s="435"/>
      <c r="N67" s="435"/>
      <c r="O67" s="435"/>
      <c r="P67" s="435"/>
      <c r="Q67" s="435"/>
      <c r="R67" s="435"/>
      <c r="S67" s="435"/>
      <c r="T67" s="435"/>
      <c r="U67" s="335"/>
      <c r="V67" s="435"/>
    </row>
    <row r="68" spans="1:22" s="516" customFormat="1" x14ac:dyDescent="0.35">
      <c r="A68" s="454"/>
      <c r="B68" s="435"/>
      <c r="C68" s="435" t="s">
        <v>325</v>
      </c>
      <c r="D68" s="581">
        <v>87855</v>
      </c>
      <c r="E68" s="354"/>
      <c r="F68" s="577" t="s">
        <v>86</v>
      </c>
      <c r="G68" s="578"/>
      <c r="H68" s="354"/>
      <c r="I68" s="577" t="s">
        <v>334</v>
      </c>
      <c r="J68" s="578"/>
      <c r="K68" s="354"/>
      <c r="L68" s="577" t="s">
        <v>335</v>
      </c>
      <c r="M68" s="578"/>
      <c r="N68" s="354"/>
      <c r="O68" s="577" t="s">
        <v>336</v>
      </c>
      <c r="P68" s="578"/>
      <c r="Q68" s="435"/>
      <c r="R68" s="435"/>
      <c r="S68" s="435"/>
      <c r="T68" s="435"/>
      <c r="U68" s="335"/>
      <c r="V68" s="435"/>
    </row>
    <row r="69" spans="1:22" s="516" customFormat="1" x14ac:dyDescent="0.35">
      <c r="A69" s="454"/>
      <c r="B69" s="435"/>
      <c r="C69" s="435"/>
      <c r="D69" s="435"/>
      <c r="E69" s="576" t="s">
        <v>317</v>
      </c>
      <c r="F69" s="433" t="s">
        <v>316</v>
      </c>
      <c r="G69" s="342" t="s">
        <v>68</v>
      </c>
      <c r="H69" s="576" t="s">
        <v>317</v>
      </c>
      <c r="I69" s="433" t="s">
        <v>316</v>
      </c>
      <c r="J69" s="342" t="s">
        <v>68</v>
      </c>
      <c r="K69" s="576" t="s">
        <v>317</v>
      </c>
      <c r="L69" s="433" t="s">
        <v>316</v>
      </c>
      <c r="M69" s="342" t="s">
        <v>68</v>
      </c>
      <c r="N69" s="576" t="s">
        <v>317</v>
      </c>
      <c r="O69" s="433" t="s">
        <v>316</v>
      </c>
      <c r="P69" s="342" t="s">
        <v>68</v>
      </c>
      <c r="Q69" s="435"/>
      <c r="R69" s="435"/>
      <c r="S69" s="435"/>
      <c r="T69" s="435"/>
      <c r="U69" s="335"/>
      <c r="V69" s="435"/>
    </row>
    <row r="70" spans="1:22" s="516" customFormat="1" x14ac:dyDescent="0.35">
      <c r="A70" s="454"/>
      <c r="B70" s="435" t="s">
        <v>327</v>
      </c>
      <c r="C70" s="435"/>
      <c r="D70" s="435"/>
      <c r="E70" s="571"/>
      <c r="F70" s="571"/>
      <c r="G70" s="571"/>
      <c r="H70" s="571"/>
      <c r="I70" s="355"/>
      <c r="K70" s="354"/>
      <c r="L70" s="354"/>
      <c r="M70" s="435"/>
      <c r="N70" s="435"/>
      <c r="O70" s="435"/>
      <c r="P70" s="435"/>
      <c r="Q70" s="435"/>
      <c r="R70" s="435"/>
      <c r="S70" s="435"/>
      <c r="T70" s="435"/>
      <c r="U70" s="335"/>
      <c r="V70" s="435"/>
    </row>
    <row r="71" spans="1:22" s="516" customFormat="1" x14ac:dyDescent="0.35">
      <c r="A71" s="454"/>
      <c r="B71" s="435"/>
      <c r="C71" s="435" t="s">
        <v>328</v>
      </c>
      <c r="D71" s="435"/>
      <c r="E71" s="354">
        <v>11</v>
      </c>
      <c r="F71" s="572">
        <v>66350</v>
      </c>
      <c r="G71" s="572">
        <f>E71*F71</f>
        <v>729850</v>
      </c>
      <c r="H71" s="354">
        <v>11</v>
      </c>
      <c r="I71" s="572">
        <f>D64</f>
        <v>66350</v>
      </c>
      <c r="J71" s="572">
        <f>H71*I71</f>
        <v>729850</v>
      </c>
      <c r="K71" s="354">
        <v>11</v>
      </c>
      <c r="L71" s="572">
        <v>66350</v>
      </c>
      <c r="M71" s="572">
        <f>K71*L71</f>
        <v>729850</v>
      </c>
      <c r="N71" s="354">
        <v>11</v>
      </c>
      <c r="O71" s="572">
        <v>66350</v>
      </c>
      <c r="P71" s="572">
        <f>N71*O71</f>
        <v>729850</v>
      </c>
      <c r="Q71" s="435"/>
      <c r="R71" s="435"/>
      <c r="S71" s="435"/>
      <c r="T71" s="435"/>
      <c r="U71" s="335"/>
      <c r="V71" s="435"/>
    </row>
    <row r="72" spans="1:22" s="516" customFormat="1" x14ac:dyDescent="0.35">
      <c r="A72" s="454"/>
      <c r="B72" s="435"/>
      <c r="C72" s="435" t="s">
        <v>329</v>
      </c>
      <c r="D72" s="435"/>
      <c r="E72" s="354">
        <v>0.71</v>
      </c>
      <c r="F72" s="572">
        <v>75625</v>
      </c>
      <c r="G72" s="572">
        <f t="shared" ref="G72:G75" si="10">E72*F72</f>
        <v>53693.75</v>
      </c>
      <c r="H72" s="354">
        <v>3.4</v>
      </c>
      <c r="I72" s="572">
        <f>D65</f>
        <v>75625</v>
      </c>
      <c r="J72" s="572">
        <f t="shared" ref="J72:J77" si="11">H72*I72</f>
        <v>257125</v>
      </c>
      <c r="K72" s="354">
        <v>3.4</v>
      </c>
      <c r="L72" s="572">
        <v>75625</v>
      </c>
      <c r="M72" s="572">
        <f t="shared" ref="M72:M75" si="12">K72*L72</f>
        <v>257125</v>
      </c>
      <c r="N72" s="354">
        <v>3.4</v>
      </c>
      <c r="O72" s="572">
        <v>75625</v>
      </c>
      <c r="P72" s="572">
        <f t="shared" ref="P72:P75" si="13">N72*O72</f>
        <v>257125</v>
      </c>
      <c r="Q72" s="435"/>
      <c r="R72" s="435"/>
      <c r="S72" s="435"/>
      <c r="T72" s="435"/>
      <c r="U72" s="335"/>
      <c r="V72" s="435"/>
    </row>
    <row r="73" spans="1:22" s="516" customFormat="1" x14ac:dyDescent="0.35">
      <c r="A73" s="454"/>
      <c r="B73" s="435"/>
      <c r="C73" s="435" t="s">
        <v>330</v>
      </c>
      <c r="D73" s="435"/>
      <c r="E73" s="354">
        <v>2</v>
      </c>
      <c r="F73" s="572">
        <v>101275</v>
      </c>
      <c r="G73" s="572">
        <f t="shared" si="10"/>
        <v>202550</v>
      </c>
      <c r="H73" s="354">
        <v>2</v>
      </c>
      <c r="I73" s="572">
        <f>D66</f>
        <v>101275</v>
      </c>
      <c r="J73" s="572">
        <f t="shared" si="11"/>
        <v>202550</v>
      </c>
      <c r="K73" s="354">
        <v>2</v>
      </c>
      <c r="L73" s="572">
        <v>101275</v>
      </c>
      <c r="M73" s="572">
        <f t="shared" si="12"/>
        <v>202550</v>
      </c>
      <c r="N73" s="354">
        <v>2</v>
      </c>
      <c r="O73" s="572">
        <v>101275</v>
      </c>
      <c r="P73" s="572">
        <f t="shared" si="13"/>
        <v>202550</v>
      </c>
      <c r="Q73" s="435"/>
      <c r="R73" s="435"/>
      <c r="S73" s="435"/>
      <c r="T73" s="435"/>
      <c r="U73" s="335"/>
      <c r="V73" s="435"/>
    </row>
    <row r="74" spans="1:22" s="516" customFormat="1" x14ac:dyDescent="0.35">
      <c r="A74" s="454"/>
      <c r="B74" s="435"/>
      <c r="C74" s="435" t="s">
        <v>331</v>
      </c>
      <c r="D74" s="435"/>
      <c r="E74" s="354">
        <v>0.55000000000000004</v>
      </c>
      <c r="F74" s="572">
        <v>101075</v>
      </c>
      <c r="G74" s="572">
        <f t="shared" si="10"/>
        <v>55591.250000000007</v>
      </c>
      <c r="H74" s="354">
        <v>5.5</v>
      </c>
      <c r="I74" s="572">
        <f>D67</f>
        <v>101075</v>
      </c>
      <c r="J74" s="572">
        <f t="shared" si="11"/>
        <v>555912.5</v>
      </c>
      <c r="K74" s="354">
        <f>H74*5</f>
        <v>27.5</v>
      </c>
      <c r="L74" s="572">
        <v>101075</v>
      </c>
      <c r="M74" s="572">
        <f t="shared" si="12"/>
        <v>2779562.5</v>
      </c>
      <c r="N74" s="354">
        <f>K74*2</f>
        <v>55</v>
      </c>
      <c r="O74" s="572">
        <v>101075</v>
      </c>
      <c r="P74" s="572">
        <f t="shared" si="13"/>
        <v>5559125</v>
      </c>
      <c r="Q74" s="435"/>
      <c r="R74" s="435"/>
      <c r="S74" s="435"/>
      <c r="T74" s="435"/>
      <c r="U74" s="335"/>
      <c r="V74" s="435"/>
    </row>
    <row r="75" spans="1:22" s="516" customFormat="1" x14ac:dyDescent="0.35">
      <c r="A75" s="454"/>
      <c r="B75" s="435"/>
      <c r="C75" s="435" t="s">
        <v>332</v>
      </c>
      <c r="D75" s="435"/>
      <c r="E75" s="354">
        <v>3.1</v>
      </c>
      <c r="F75" s="572">
        <v>101075</v>
      </c>
      <c r="G75" s="572">
        <f t="shared" si="10"/>
        <v>313332.5</v>
      </c>
      <c r="H75" s="354">
        <v>3.1</v>
      </c>
      <c r="I75" s="572">
        <f>D67</f>
        <v>101075</v>
      </c>
      <c r="J75" s="572">
        <f t="shared" si="11"/>
        <v>313332.5</v>
      </c>
      <c r="K75" s="354">
        <v>3.1</v>
      </c>
      <c r="L75" s="572">
        <v>101075</v>
      </c>
      <c r="M75" s="572">
        <f t="shared" si="12"/>
        <v>313332.5</v>
      </c>
      <c r="N75" s="354">
        <f>K75</f>
        <v>3.1</v>
      </c>
      <c r="O75" s="572">
        <v>101075</v>
      </c>
      <c r="P75" s="572">
        <f t="shared" si="13"/>
        <v>313332.5</v>
      </c>
      <c r="Q75" s="435"/>
      <c r="R75" s="435"/>
      <c r="S75" s="435"/>
      <c r="T75" s="435"/>
      <c r="U75" s="335"/>
      <c r="V75" s="435"/>
    </row>
    <row r="76" spans="1:22" s="516" customFormat="1" x14ac:dyDescent="0.35">
      <c r="A76" s="454"/>
      <c r="B76" s="435"/>
      <c r="C76" s="435" t="s">
        <v>333</v>
      </c>
      <c r="D76" s="435"/>
      <c r="E76" s="354"/>
      <c r="F76" s="572"/>
      <c r="G76" s="572"/>
      <c r="H76" s="354"/>
      <c r="I76" s="572"/>
      <c r="J76" s="572"/>
      <c r="K76" s="354"/>
      <c r="L76" s="572"/>
      <c r="M76" s="572"/>
      <c r="N76" s="354"/>
      <c r="O76" s="572"/>
      <c r="P76" s="572"/>
      <c r="Q76" s="435"/>
      <c r="R76" s="435"/>
      <c r="S76" s="435"/>
      <c r="T76" s="435"/>
      <c r="U76" s="335"/>
      <c r="V76" s="435"/>
    </row>
    <row r="77" spans="1:22" s="516" customFormat="1" x14ac:dyDescent="0.35">
      <c r="A77" s="454"/>
      <c r="B77" s="435"/>
      <c r="C77" s="435" t="s">
        <v>125</v>
      </c>
      <c r="D77" s="332">
        <v>0.1</v>
      </c>
      <c r="E77" s="354">
        <f>SUM(E71:E76)*D77</f>
        <v>1.7360000000000004</v>
      </c>
      <c r="F77" s="572">
        <v>87855</v>
      </c>
      <c r="G77" s="572">
        <f t="shared" ref="G77" si="14">E77*F77</f>
        <v>152516.28000000003</v>
      </c>
      <c r="H77" s="354">
        <v>2.52</v>
      </c>
      <c r="I77" s="572">
        <f>D68</f>
        <v>87855</v>
      </c>
      <c r="J77" s="572">
        <f t="shared" si="11"/>
        <v>221394.6</v>
      </c>
      <c r="K77" s="354">
        <v>2.52</v>
      </c>
      <c r="L77" s="572">
        <v>87855</v>
      </c>
      <c r="M77" s="572">
        <f t="shared" ref="M77" si="15">K77*L77</f>
        <v>221394.6</v>
      </c>
      <c r="N77" s="354">
        <v>2.52</v>
      </c>
      <c r="O77" s="572">
        <v>87855</v>
      </c>
      <c r="P77" s="572">
        <f t="shared" ref="P77" si="16">N77*O77</f>
        <v>221394.6</v>
      </c>
      <c r="Q77" s="435"/>
      <c r="R77" s="435"/>
      <c r="S77" s="435"/>
      <c r="T77" s="435"/>
      <c r="U77" s="335"/>
      <c r="V77" s="435"/>
    </row>
    <row r="78" spans="1:22" s="516" customFormat="1" x14ac:dyDescent="0.35">
      <c r="A78" s="454"/>
      <c r="B78" s="435"/>
      <c r="C78" s="435"/>
      <c r="D78" s="435"/>
      <c r="E78" s="354"/>
      <c r="F78" s="342"/>
      <c r="G78" s="572"/>
      <c r="H78" s="354"/>
      <c r="I78" s="342"/>
      <c r="J78" s="572"/>
      <c r="K78" s="354"/>
      <c r="L78" s="342"/>
      <c r="M78" s="572"/>
      <c r="N78" s="435"/>
      <c r="O78" s="435"/>
      <c r="P78" s="435"/>
      <c r="Q78" s="435"/>
      <c r="R78" s="435"/>
      <c r="S78" s="435"/>
      <c r="T78" s="435"/>
      <c r="U78" s="335"/>
      <c r="V78" s="435"/>
    </row>
    <row r="79" spans="1:22" s="516" customFormat="1" x14ac:dyDescent="0.35">
      <c r="A79" s="454"/>
      <c r="B79" s="334" t="s">
        <v>70</v>
      </c>
      <c r="C79" s="334"/>
      <c r="D79" s="334"/>
      <c r="E79" s="587">
        <f>SUM(E71:E77)</f>
        <v>19.096000000000004</v>
      </c>
      <c r="F79" s="588"/>
      <c r="G79" s="589">
        <f>SUM(G71:G77)</f>
        <v>1507533.78</v>
      </c>
      <c r="H79" s="587">
        <f>SUM(H71:H77)</f>
        <v>27.52</v>
      </c>
      <c r="I79" s="588"/>
      <c r="J79" s="589">
        <f>SUM(J71:J77)</f>
        <v>2280164.6</v>
      </c>
      <c r="K79" s="587">
        <f>SUM(K71:K77)</f>
        <v>49.52</v>
      </c>
      <c r="L79" s="588"/>
      <c r="M79" s="589">
        <f>SUM(M71:M77)</f>
        <v>4503814.5999999996</v>
      </c>
      <c r="N79" s="590">
        <f t="shared" ref="N79:P79" si="17">SUM(N71:N77)</f>
        <v>77.02</v>
      </c>
      <c r="O79" s="589"/>
      <c r="P79" s="589">
        <f t="shared" si="17"/>
        <v>7283377.0999999996</v>
      </c>
      <c r="Q79" s="435"/>
      <c r="R79" s="435"/>
      <c r="S79" s="435"/>
      <c r="T79" s="435"/>
      <c r="U79" s="335"/>
      <c r="V79" s="435"/>
    </row>
    <row r="80" spans="1:22" s="516" customFormat="1" x14ac:dyDescent="0.35">
      <c r="A80" s="454"/>
      <c r="B80" s="435"/>
      <c r="C80" s="435"/>
      <c r="D80" s="435"/>
      <c r="E80" s="354"/>
      <c r="F80" s="342"/>
      <c r="G80" s="355"/>
      <c r="H80" s="355"/>
      <c r="I80" s="355"/>
      <c r="K80" s="354"/>
      <c r="L80" s="354"/>
      <c r="M80" s="435"/>
      <c r="N80" s="435"/>
      <c r="O80" s="435"/>
      <c r="P80" s="435"/>
      <c r="Q80" s="435"/>
      <c r="R80" s="435"/>
      <c r="S80" s="435"/>
      <c r="T80" s="435"/>
      <c r="U80" s="335"/>
      <c r="V80" s="435"/>
    </row>
    <row r="81" spans="1:22" x14ac:dyDescent="0.35">
      <c r="A81" s="384"/>
      <c r="B81" s="384"/>
      <c r="C81" s="384"/>
      <c r="D81" s="384"/>
      <c r="E81" s="384"/>
      <c r="F81" s="516"/>
      <c r="G81" s="102" t="s">
        <v>271</v>
      </c>
      <c r="H81" s="413" t="s">
        <v>59</v>
      </c>
      <c r="I81" s="413"/>
      <c r="K81" s="354"/>
      <c r="L81" s="384"/>
      <c r="M81" s="384"/>
      <c r="N81" s="384"/>
      <c r="O81" s="384"/>
      <c r="P81" s="384"/>
      <c r="Q81" s="384"/>
      <c r="R81" s="384"/>
      <c r="S81" s="384"/>
      <c r="T81" s="384"/>
      <c r="U81" s="384"/>
      <c r="V81" s="384"/>
    </row>
    <row r="82" spans="1:22" x14ac:dyDescent="0.35">
      <c r="A82" s="454" t="s">
        <v>66</v>
      </c>
      <c r="B82" s="345" t="s">
        <v>47</v>
      </c>
      <c r="C82" s="384"/>
      <c r="D82" s="384"/>
      <c r="E82" s="384"/>
      <c r="F82" s="571">
        <v>1</v>
      </c>
      <c r="G82" s="571">
        <v>10</v>
      </c>
      <c r="H82" s="571">
        <v>50</v>
      </c>
      <c r="I82" s="571">
        <v>100</v>
      </c>
      <c r="K82" s="354"/>
      <c r="L82" s="384"/>
      <c r="M82" s="384"/>
      <c r="N82" s="384"/>
      <c r="O82" s="384"/>
      <c r="P82" s="384"/>
      <c r="Q82" s="384"/>
      <c r="R82" s="384"/>
      <c r="S82" s="384"/>
      <c r="T82" s="384"/>
      <c r="U82" s="384"/>
      <c r="V82" s="384"/>
    </row>
    <row r="83" spans="1:22" s="516" customFormat="1" x14ac:dyDescent="0.35">
      <c r="A83" s="454"/>
      <c r="B83" s="345"/>
      <c r="C83" s="435"/>
      <c r="D83" s="435"/>
      <c r="E83" s="435"/>
      <c r="F83" s="571"/>
      <c r="G83" s="571"/>
      <c r="H83" s="571"/>
      <c r="I83" s="571"/>
      <c r="K83" s="354"/>
      <c r="L83" s="435"/>
      <c r="M83" s="435"/>
      <c r="N83" s="435"/>
      <c r="O83" s="435"/>
      <c r="P83" s="435"/>
      <c r="Q83" s="435"/>
      <c r="R83" s="435"/>
      <c r="S83" s="435"/>
      <c r="T83" s="435"/>
      <c r="U83" s="435"/>
      <c r="V83" s="435"/>
    </row>
    <row r="84" spans="1:22" s="516" customFormat="1" x14ac:dyDescent="0.35">
      <c r="A84" s="454"/>
      <c r="B84" s="435" t="s">
        <v>299</v>
      </c>
      <c r="C84" s="435"/>
      <c r="D84" s="435"/>
      <c r="E84" s="435"/>
      <c r="F84" s="571"/>
      <c r="G84" s="571"/>
      <c r="H84" s="571"/>
      <c r="I84" s="571"/>
      <c r="K84" s="354"/>
      <c r="L84" s="435"/>
      <c r="M84" s="435"/>
      <c r="N84" s="435"/>
      <c r="O84" s="435"/>
      <c r="P84" s="435"/>
      <c r="Q84" s="435"/>
      <c r="R84" s="435"/>
      <c r="S84" s="435"/>
      <c r="T84" s="435"/>
      <c r="U84" s="435"/>
      <c r="V84" s="435"/>
    </row>
    <row r="85" spans="1:22" s="516" customFormat="1" x14ac:dyDescent="0.35">
      <c r="A85" s="454"/>
      <c r="B85" s="435" t="s">
        <v>338</v>
      </c>
      <c r="C85" s="435"/>
      <c r="D85" s="435"/>
      <c r="E85" s="435"/>
      <c r="F85" s="571"/>
      <c r="G85" s="571"/>
      <c r="H85" s="571"/>
      <c r="I85" s="571"/>
      <c r="K85" s="354"/>
      <c r="L85" s="435"/>
      <c r="M85" s="435"/>
      <c r="N85" s="435"/>
      <c r="O85" s="435"/>
      <c r="P85" s="435"/>
      <c r="Q85" s="435"/>
      <c r="R85" s="435"/>
      <c r="S85" s="435"/>
      <c r="T85" s="435"/>
      <c r="U85" s="435"/>
      <c r="V85" s="435"/>
    </row>
    <row r="86" spans="1:22" s="516" customFormat="1" x14ac:dyDescent="0.35">
      <c r="A86" s="454"/>
      <c r="B86" s="435" t="s">
        <v>342</v>
      </c>
      <c r="C86" s="435"/>
      <c r="D86" s="435"/>
      <c r="E86" s="435"/>
      <c r="F86" s="571"/>
      <c r="G86" s="571"/>
      <c r="H86" s="571"/>
      <c r="I86" s="571"/>
      <c r="K86" s="354"/>
      <c r="L86" s="435"/>
      <c r="M86" s="435"/>
      <c r="N86" s="435"/>
      <c r="O86" s="435"/>
      <c r="P86" s="435"/>
      <c r="Q86" s="435"/>
      <c r="R86" s="435"/>
      <c r="S86" s="435"/>
      <c r="T86" s="435"/>
      <c r="U86" s="435"/>
      <c r="V86" s="435"/>
    </row>
    <row r="87" spans="1:22" s="516" customFormat="1" x14ac:dyDescent="0.35">
      <c r="A87" s="454"/>
      <c r="B87" s="435" t="s">
        <v>339</v>
      </c>
      <c r="C87" s="435"/>
      <c r="D87" s="435"/>
      <c r="E87" s="435"/>
      <c r="F87" s="571"/>
      <c r="G87" s="571"/>
      <c r="H87" s="571"/>
      <c r="I87" s="571"/>
      <c r="K87" s="354"/>
      <c r="L87" s="435"/>
      <c r="M87" s="435"/>
      <c r="N87" s="435"/>
      <c r="O87" s="435"/>
      <c r="P87" s="435"/>
      <c r="Q87" s="435"/>
      <c r="R87" s="435"/>
      <c r="S87" s="435"/>
      <c r="T87" s="435"/>
      <c r="U87" s="435"/>
      <c r="V87" s="435"/>
    </row>
    <row r="88" spans="1:22" s="516" customFormat="1" x14ac:dyDescent="0.35">
      <c r="A88" s="454"/>
      <c r="B88" s="435" t="s">
        <v>340</v>
      </c>
      <c r="C88" s="435"/>
      <c r="D88" s="435"/>
      <c r="E88" s="435"/>
      <c r="F88" s="571"/>
      <c r="G88" s="571"/>
      <c r="H88" s="571"/>
      <c r="I88" s="571"/>
      <c r="K88" s="354"/>
      <c r="L88" s="435"/>
      <c r="M88" s="435"/>
      <c r="N88" s="435"/>
      <c r="O88" s="435"/>
      <c r="P88" s="435"/>
      <c r="Q88" s="435"/>
      <c r="R88" s="435"/>
      <c r="S88" s="435"/>
      <c r="T88" s="435"/>
      <c r="U88" s="435"/>
      <c r="V88" s="435"/>
    </row>
    <row r="89" spans="1:22" s="516" customFormat="1" x14ac:dyDescent="0.35">
      <c r="A89" s="454"/>
      <c r="B89" s="435" t="s">
        <v>341</v>
      </c>
      <c r="C89" s="435"/>
      <c r="D89" s="435"/>
      <c r="E89" s="354"/>
      <c r="F89" s="577" t="s">
        <v>86</v>
      </c>
      <c r="G89" s="578"/>
      <c r="H89" s="354"/>
      <c r="I89" s="577" t="s">
        <v>346</v>
      </c>
      <c r="J89" s="578"/>
      <c r="K89" s="354"/>
      <c r="L89" s="577" t="s">
        <v>335</v>
      </c>
      <c r="M89" s="578"/>
      <c r="N89" s="354"/>
      <c r="O89" s="577" t="s">
        <v>336</v>
      </c>
      <c r="P89" s="578"/>
      <c r="Q89" s="435"/>
      <c r="R89" s="435"/>
      <c r="S89" s="435"/>
      <c r="T89" s="435"/>
      <c r="U89" s="435"/>
      <c r="V89" s="435"/>
    </row>
    <row r="90" spans="1:22" s="516" customFormat="1" x14ac:dyDescent="0.35">
      <c r="A90" s="454"/>
      <c r="B90" s="345"/>
      <c r="C90" s="435"/>
      <c r="D90" s="435"/>
      <c r="E90" s="576" t="s">
        <v>317</v>
      </c>
      <c r="F90" s="433" t="s">
        <v>316</v>
      </c>
      <c r="G90" s="342" t="s">
        <v>68</v>
      </c>
      <c r="H90" s="576" t="s">
        <v>317</v>
      </c>
      <c r="I90" s="433" t="s">
        <v>316</v>
      </c>
      <c r="J90" s="342" t="s">
        <v>68</v>
      </c>
      <c r="K90" s="576" t="s">
        <v>317</v>
      </c>
      <c r="L90" s="433" t="s">
        <v>316</v>
      </c>
      <c r="M90" s="342" t="s">
        <v>68</v>
      </c>
      <c r="N90" s="576" t="s">
        <v>317</v>
      </c>
      <c r="O90" s="433" t="s">
        <v>316</v>
      </c>
      <c r="P90" s="342" t="s">
        <v>68</v>
      </c>
      <c r="Q90" s="435"/>
      <c r="R90" s="435"/>
      <c r="S90" s="435"/>
      <c r="T90" s="435"/>
      <c r="U90" s="435"/>
      <c r="V90" s="435"/>
    </row>
    <row r="91" spans="1:22" s="516" customFormat="1" x14ac:dyDescent="0.35">
      <c r="A91" s="454"/>
      <c r="B91" s="435" t="s">
        <v>343</v>
      </c>
      <c r="C91" s="435"/>
      <c r="D91" s="435"/>
      <c r="E91" s="435"/>
      <c r="F91" s="571"/>
      <c r="G91" s="571"/>
      <c r="H91" s="571"/>
      <c r="I91" s="571"/>
      <c r="K91" s="354"/>
      <c r="L91" s="435"/>
      <c r="M91" s="435"/>
      <c r="N91" s="435"/>
      <c r="O91" s="435"/>
      <c r="P91" s="435"/>
      <c r="Q91" s="435"/>
      <c r="R91" s="435"/>
      <c r="S91" s="435"/>
      <c r="T91" s="435"/>
      <c r="U91" s="435"/>
      <c r="V91" s="435"/>
    </row>
    <row r="92" spans="1:22" s="516" customFormat="1" x14ac:dyDescent="0.35">
      <c r="A92" s="454"/>
      <c r="B92" s="435">
        <v>1</v>
      </c>
      <c r="C92" s="435" t="s">
        <v>344</v>
      </c>
      <c r="D92" s="435"/>
      <c r="E92" s="435"/>
      <c r="F92" s="571"/>
      <c r="G92" s="572">
        <v>181750</v>
      </c>
      <c r="H92" s="571"/>
      <c r="I92" s="571"/>
      <c r="J92" s="425">
        <f>G92</f>
        <v>181750</v>
      </c>
      <c r="K92" s="354"/>
      <c r="L92" s="435"/>
      <c r="M92" s="581">
        <v>181750</v>
      </c>
      <c r="N92" s="435"/>
      <c r="O92" s="435"/>
      <c r="P92" s="581">
        <v>181750</v>
      </c>
      <c r="Q92" s="435"/>
      <c r="R92" s="435"/>
      <c r="S92" s="435"/>
      <c r="T92" s="435"/>
      <c r="U92" s="435"/>
      <c r="V92" s="435"/>
    </row>
    <row r="93" spans="1:22" s="516" customFormat="1" x14ac:dyDescent="0.35">
      <c r="A93" s="454"/>
      <c r="B93" s="435">
        <v>2</v>
      </c>
      <c r="C93" s="435" t="s">
        <v>44</v>
      </c>
      <c r="D93" s="342" t="s">
        <v>345</v>
      </c>
      <c r="E93" s="435">
        <v>1</v>
      </c>
      <c r="F93" s="572">
        <v>66775</v>
      </c>
      <c r="G93" s="572">
        <f>F93*E93</f>
        <v>66775</v>
      </c>
      <c r="H93" s="571">
        <v>10</v>
      </c>
      <c r="I93" s="572">
        <v>66775</v>
      </c>
      <c r="J93" s="425">
        <f>I93*H93</f>
        <v>667750</v>
      </c>
      <c r="K93" s="354">
        <v>50</v>
      </c>
      <c r="L93" s="581">
        <v>66775</v>
      </c>
      <c r="M93" s="591">
        <f>L93*K93</f>
        <v>3338750</v>
      </c>
      <c r="N93" s="435">
        <v>100</v>
      </c>
      <c r="O93" s="581">
        <v>66775</v>
      </c>
      <c r="P93" s="591">
        <f>O93*N93</f>
        <v>6677500</v>
      </c>
      <c r="Q93" s="435"/>
      <c r="R93" s="435"/>
      <c r="S93" s="435"/>
      <c r="T93" s="435"/>
      <c r="U93" s="435"/>
      <c r="V93" s="435"/>
    </row>
    <row r="94" spans="1:22" s="516" customFormat="1" x14ac:dyDescent="0.35">
      <c r="A94" s="454"/>
      <c r="B94" s="435">
        <v>3</v>
      </c>
      <c r="C94" s="435" t="s">
        <v>125</v>
      </c>
      <c r="D94" s="332">
        <v>0.1</v>
      </c>
      <c r="E94" s="435">
        <f>D94*E93</f>
        <v>0.1</v>
      </c>
      <c r="F94" s="572">
        <f>F93</f>
        <v>66775</v>
      </c>
      <c r="G94" s="572">
        <f>F94*E94</f>
        <v>6677.5</v>
      </c>
      <c r="H94" s="571">
        <v>1</v>
      </c>
      <c r="I94" s="572">
        <v>66775</v>
      </c>
      <c r="J94" s="425">
        <f>I94*H94</f>
        <v>66775</v>
      </c>
      <c r="K94" s="354">
        <v>5</v>
      </c>
      <c r="L94" s="581">
        <v>66775</v>
      </c>
      <c r="M94" s="591">
        <f>L94*K94</f>
        <v>333875</v>
      </c>
      <c r="N94" s="435">
        <v>10</v>
      </c>
      <c r="O94" s="581">
        <v>66775</v>
      </c>
      <c r="P94" s="591">
        <f>O94*N94</f>
        <v>667750</v>
      </c>
      <c r="Q94" s="435"/>
      <c r="R94" s="435"/>
      <c r="S94" s="435"/>
      <c r="T94" s="435"/>
      <c r="U94" s="435"/>
      <c r="V94" s="435"/>
    </row>
    <row r="95" spans="1:22" s="516" customFormat="1" x14ac:dyDescent="0.35">
      <c r="A95" s="454"/>
      <c r="B95" s="345"/>
      <c r="C95" s="435"/>
      <c r="D95" s="435"/>
      <c r="E95" s="435"/>
      <c r="F95" s="571"/>
      <c r="G95" s="571"/>
      <c r="H95" s="571"/>
      <c r="I95" s="571"/>
      <c r="K95" s="354"/>
      <c r="L95" s="435"/>
      <c r="M95" s="435"/>
      <c r="N95" s="435"/>
      <c r="O95" s="435"/>
      <c r="P95" s="435"/>
      <c r="Q95" s="435"/>
      <c r="R95" s="435"/>
      <c r="S95" s="435"/>
      <c r="T95" s="435"/>
      <c r="U95" s="435"/>
      <c r="V95" s="435"/>
    </row>
    <row r="96" spans="1:22" s="516" customFormat="1" x14ac:dyDescent="0.35">
      <c r="A96" s="454"/>
      <c r="B96" s="334" t="s">
        <v>70</v>
      </c>
      <c r="C96" s="334"/>
      <c r="D96" s="334"/>
      <c r="E96" s="334">
        <f>SUM(E92:E94)</f>
        <v>1.1000000000000001</v>
      </c>
      <c r="F96" s="334"/>
      <c r="G96" s="592">
        <f t="shared" ref="G96:P96" si="18">SUM(G92:G94)</f>
        <v>255202.5</v>
      </c>
      <c r="H96" s="592">
        <f t="shared" si="18"/>
        <v>11</v>
      </c>
      <c r="I96" s="592"/>
      <c r="J96" s="592">
        <f t="shared" si="18"/>
        <v>916275</v>
      </c>
      <c r="K96" s="592">
        <f t="shared" si="18"/>
        <v>55</v>
      </c>
      <c r="L96" s="592"/>
      <c r="M96" s="592">
        <f t="shared" si="18"/>
        <v>3854375</v>
      </c>
      <c r="N96" s="592">
        <f t="shared" si="18"/>
        <v>110</v>
      </c>
      <c r="O96" s="592"/>
      <c r="P96" s="592">
        <f t="shared" si="18"/>
        <v>7527000</v>
      </c>
      <c r="Q96" s="435"/>
      <c r="R96" s="435"/>
      <c r="S96" s="435"/>
      <c r="T96" s="435"/>
      <c r="U96" s="435"/>
      <c r="V96" s="435"/>
    </row>
    <row r="97" spans="1:22" s="516" customFormat="1" x14ac:dyDescent="0.35">
      <c r="A97" s="454"/>
      <c r="B97" s="345"/>
      <c r="C97" s="435"/>
      <c r="D97" s="435"/>
      <c r="E97" s="435"/>
      <c r="F97" s="571"/>
      <c r="G97" s="571"/>
      <c r="H97" s="571"/>
      <c r="I97" s="571"/>
      <c r="K97" s="354"/>
      <c r="L97" s="435"/>
      <c r="M97" s="435"/>
      <c r="N97" s="435"/>
      <c r="O97" s="435"/>
      <c r="P97" s="435"/>
      <c r="Q97" s="435"/>
      <c r="R97" s="435"/>
      <c r="S97" s="435"/>
      <c r="T97" s="435"/>
      <c r="U97" s="435"/>
      <c r="V97" s="435"/>
    </row>
    <row r="98" spans="1:22" x14ac:dyDescent="0.35">
      <c r="A98" s="383"/>
      <c r="B98" s="383"/>
      <c r="C98" s="353"/>
      <c r="D98" s="353"/>
      <c r="E98" s="353"/>
      <c r="F98" s="353"/>
      <c r="G98" s="353"/>
      <c r="H98" s="353"/>
      <c r="I98" s="353"/>
      <c r="K98" s="383"/>
      <c r="L98" s="383"/>
      <c r="M98" s="383"/>
      <c r="N98" s="383"/>
      <c r="O98" s="383"/>
      <c r="P98" s="383"/>
      <c r="Q98" s="383"/>
      <c r="R98" s="312"/>
      <c r="S98" s="312"/>
      <c r="T98" s="312"/>
      <c r="U98" s="312"/>
      <c r="V98" s="312"/>
    </row>
    <row r="99" spans="1:22" x14ac:dyDescent="0.35">
      <c r="A99" s="345" t="s">
        <v>67</v>
      </c>
      <c r="B99" s="345" t="s">
        <v>48</v>
      </c>
      <c r="C99" s="393"/>
      <c r="D99" s="393"/>
      <c r="E99" s="393"/>
      <c r="F99" s="342" t="s">
        <v>73</v>
      </c>
      <c r="G99" s="355" t="s">
        <v>95</v>
      </c>
      <c r="H99" s="355" t="s">
        <v>97</v>
      </c>
      <c r="I99" s="355" t="s">
        <v>96</v>
      </c>
      <c r="K99" s="393"/>
      <c r="L99" s="312"/>
      <c r="M99" s="312"/>
      <c r="N99" s="312"/>
      <c r="O99" s="312"/>
      <c r="P99" s="312"/>
      <c r="Q99" s="312"/>
      <c r="R99" s="312"/>
      <c r="S99" s="312"/>
      <c r="T99" s="312"/>
      <c r="U99" s="312"/>
      <c r="V99" s="312"/>
    </row>
    <row r="100" spans="1:22" s="516" customFormat="1" x14ac:dyDescent="0.35">
      <c r="A100" s="345"/>
      <c r="B100" s="345"/>
      <c r="C100" s="435"/>
      <c r="D100" s="435"/>
      <c r="E100" s="435"/>
      <c r="F100" s="342"/>
      <c r="G100" s="355"/>
      <c r="H100" s="355"/>
      <c r="I100" s="355"/>
      <c r="K100" s="435"/>
      <c r="L100" s="312"/>
      <c r="M100" s="312"/>
      <c r="N100" s="312"/>
      <c r="O100" s="312"/>
      <c r="P100" s="312"/>
      <c r="Q100" s="312"/>
      <c r="R100" s="312"/>
      <c r="S100" s="312"/>
      <c r="T100" s="312"/>
      <c r="U100" s="312"/>
      <c r="V100" s="312"/>
    </row>
    <row r="101" spans="1:22" s="516" customFormat="1" x14ac:dyDescent="0.35">
      <c r="A101" s="345"/>
      <c r="B101" s="435" t="s">
        <v>347</v>
      </c>
      <c r="C101" s="435"/>
      <c r="D101" s="435"/>
      <c r="E101" s="435"/>
      <c r="F101" s="342"/>
      <c r="G101" s="355"/>
      <c r="H101" s="355"/>
      <c r="I101" s="355"/>
      <c r="K101" s="435"/>
      <c r="L101" s="312"/>
      <c r="M101" s="312"/>
      <c r="N101" s="312"/>
      <c r="O101" s="312"/>
      <c r="P101" s="312"/>
      <c r="Q101" s="312"/>
      <c r="R101" s="312"/>
      <c r="S101" s="312"/>
      <c r="T101" s="312"/>
      <c r="U101" s="312"/>
      <c r="V101" s="312"/>
    </row>
    <row r="102" spans="1:22" s="516" customFormat="1" x14ac:dyDescent="0.35">
      <c r="A102" s="345"/>
      <c r="B102" s="435" t="s">
        <v>348</v>
      </c>
      <c r="C102" s="435"/>
      <c r="D102" s="435"/>
      <c r="E102" s="435"/>
      <c r="F102" s="342"/>
      <c r="G102" s="355"/>
      <c r="H102" s="355"/>
      <c r="I102" s="355"/>
      <c r="K102" s="435"/>
      <c r="L102" s="312"/>
      <c r="M102" s="312"/>
      <c r="N102" s="312"/>
      <c r="O102" s="312"/>
      <c r="P102" s="312"/>
      <c r="Q102" s="312"/>
      <c r="R102" s="312"/>
      <c r="S102" s="312"/>
      <c r="T102" s="312"/>
      <c r="U102" s="312"/>
      <c r="V102" s="312"/>
    </row>
    <row r="103" spans="1:22" x14ac:dyDescent="0.35">
      <c r="A103" s="393"/>
      <c r="B103" s="345"/>
      <c r="C103" s="393"/>
      <c r="D103" s="393"/>
      <c r="E103" s="393"/>
      <c r="F103" s="356"/>
      <c r="G103" s="356"/>
      <c r="H103" s="356"/>
      <c r="I103" s="356"/>
      <c r="K103" s="393"/>
      <c r="L103" s="312"/>
      <c r="M103" s="312"/>
      <c r="N103" s="312"/>
      <c r="O103" s="312"/>
      <c r="P103" s="312"/>
      <c r="Q103" s="312"/>
      <c r="R103" s="312"/>
      <c r="S103" s="312"/>
      <c r="T103" s="312"/>
      <c r="U103" s="312"/>
      <c r="V103" s="312"/>
    </row>
    <row r="104" spans="1:22" x14ac:dyDescent="0.35">
      <c r="A104" s="393"/>
      <c r="B104" s="334" t="s">
        <v>70</v>
      </c>
      <c r="C104" s="334"/>
      <c r="D104" s="334"/>
      <c r="E104" s="334"/>
      <c r="F104" s="338">
        <f>G96</f>
        <v>255202.5</v>
      </c>
      <c r="G104" s="338">
        <f>J96</f>
        <v>916275</v>
      </c>
      <c r="H104" s="338">
        <f>M96</f>
        <v>3854375</v>
      </c>
      <c r="I104" s="338">
        <f>P96</f>
        <v>7527000</v>
      </c>
      <c r="K104" s="393"/>
      <c r="L104" s="312"/>
      <c r="M104" s="312"/>
      <c r="N104" s="312"/>
      <c r="O104" s="312"/>
      <c r="P104" s="312"/>
      <c r="Q104" s="312"/>
      <c r="R104" s="312"/>
      <c r="S104" s="312"/>
      <c r="T104" s="312"/>
      <c r="U104" s="312"/>
      <c r="V104" s="312"/>
    </row>
    <row r="105" spans="1:22" x14ac:dyDescent="0.35">
      <c r="A105" s="393"/>
      <c r="B105" s="393"/>
      <c r="C105" s="393"/>
      <c r="D105" s="393"/>
      <c r="E105" s="393"/>
      <c r="F105" s="393"/>
      <c r="G105" s="393"/>
      <c r="H105" s="393"/>
      <c r="I105" s="393"/>
      <c r="J105" s="393"/>
      <c r="K105" s="393"/>
      <c r="L105" s="312"/>
      <c r="M105" s="312"/>
      <c r="N105" s="312"/>
      <c r="O105" s="312"/>
      <c r="P105" s="312"/>
      <c r="Q105" s="312"/>
      <c r="R105" s="312"/>
      <c r="S105" s="312"/>
      <c r="T105" s="312"/>
      <c r="U105" s="312"/>
      <c r="V105" s="312"/>
    </row>
    <row r="106" spans="1:22" x14ac:dyDescent="0.35">
      <c r="A106" s="393"/>
      <c r="B106" s="393"/>
      <c r="C106" s="393"/>
      <c r="D106" s="393"/>
      <c r="E106" s="393"/>
      <c r="F106" s="393"/>
      <c r="G106" s="393"/>
      <c r="H106" s="393"/>
      <c r="I106" s="393"/>
      <c r="J106" s="393"/>
      <c r="K106" s="393"/>
      <c r="L106" s="312"/>
      <c r="M106" s="312"/>
      <c r="N106" s="312"/>
      <c r="O106" s="312"/>
      <c r="P106" s="312"/>
      <c r="Q106" s="312"/>
      <c r="R106" s="312"/>
      <c r="S106" s="312"/>
      <c r="T106" s="312"/>
      <c r="U106" s="312"/>
      <c r="V106" s="312"/>
    </row>
    <row r="107" spans="1:22" s="277" customFormat="1" x14ac:dyDescent="0.35">
      <c r="A107" s="345" t="s">
        <v>131</v>
      </c>
      <c r="B107" s="384"/>
      <c r="C107" s="384"/>
      <c r="D107" s="384"/>
      <c r="E107" s="384"/>
      <c r="F107" s="384"/>
      <c r="G107" s="384"/>
      <c r="H107" s="384"/>
      <c r="I107" s="384"/>
      <c r="J107" s="384"/>
      <c r="K107" s="384"/>
      <c r="L107" s="312"/>
      <c r="M107" s="312"/>
      <c r="N107" s="312"/>
      <c r="O107" s="312"/>
      <c r="P107" s="312"/>
      <c r="Q107" s="312"/>
      <c r="R107" s="312"/>
      <c r="S107" s="312"/>
      <c r="T107" s="312"/>
      <c r="U107" s="312"/>
      <c r="V107" s="312"/>
    </row>
    <row r="108" spans="1:22" s="691" customFormat="1" x14ac:dyDescent="0.35">
      <c r="A108" s="692" t="s">
        <v>62</v>
      </c>
      <c r="B108" s="692"/>
      <c r="C108" s="692"/>
      <c r="D108" s="692"/>
      <c r="E108" s="692"/>
      <c r="F108" s="692"/>
      <c r="G108" s="692"/>
      <c r="H108" s="692"/>
      <c r="I108" s="692"/>
      <c r="J108" s="692"/>
      <c r="K108" s="692"/>
      <c r="L108" s="693"/>
      <c r="M108" s="693"/>
      <c r="N108" s="693"/>
      <c r="O108" s="693"/>
      <c r="P108" s="693"/>
      <c r="Q108" s="693"/>
      <c r="R108" s="693"/>
      <c r="S108" s="693"/>
      <c r="T108" s="693"/>
      <c r="U108" s="693"/>
      <c r="V108" s="693"/>
    </row>
    <row r="109" spans="1:22" s="691" customFormat="1" x14ac:dyDescent="0.35">
      <c r="A109" s="692" t="s">
        <v>63</v>
      </c>
      <c r="B109" s="692" t="s">
        <v>448</v>
      </c>
      <c r="C109" s="692"/>
      <c r="D109" s="692"/>
      <c r="E109" s="692"/>
      <c r="F109" s="692"/>
      <c r="G109" s="692"/>
      <c r="H109" s="692"/>
      <c r="I109" s="692"/>
      <c r="J109" s="692"/>
      <c r="K109" s="692"/>
      <c r="L109" s="693"/>
      <c r="M109" s="693"/>
      <c r="N109" s="693"/>
      <c r="O109" s="693"/>
      <c r="P109" s="693"/>
      <c r="Q109" s="693"/>
      <c r="R109" s="693"/>
      <c r="S109" s="693"/>
      <c r="T109" s="693"/>
      <c r="U109" s="693"/>
      <c r="V109" s="693"/>
    </row>
    <row r="110" spans="1:22" s="691" customFormat="1" x14ac:dyDescent="0.35">
      <c r="A110" s="692" t="s">
        <v>64</v>
      </c>
      <c r="B110" s="692" t="s">
        <v>448</v>
      </c>
      <c r="C110" s="692"/>
      <c r="D110" s="692"/>
      <c r="E110" s="692"/>
      <c r="F110" s="692"/>
      <c r="G110" s="692"/>
      <c r="H110" s="692"/>
      <c r="I110" s="692"/>
      <c r="J110" s="692"/>
      <c r="K110" s="692"/>
      <c r="L110" s="693"/>
      <c r="M110" s="693"/>
      <c r="N110" s="693"/>
      <c r="O110" s="693"/>
      <c r="P110" s="693"/>
      <c r="Q110" s="693"/>
      <c r="R110" s="693"/>
      <c r="S110" s="693"/>
      <c r="T110" s="693"/>
      <c r="U110" s="693"/>
      <c r="V110" s="693"/>
    </row>
    <row r="111" spans="1:22" s="691" customFormat="1" x14ac:dyDescent="0.35">
      <c r="A111" s="692" t="s">
        <v>65</v>
      </c>
      <c r="B111" s="692" t="s">
        <v>448</v>
      </c>
      <c r="C111" s="692"/>
      <c r="D111" s="692"/>
      <c r="E111" s="692"/>
      <c r="F111" s="692"/>
      <c r="G111" s="692"/>
      <c r="H111" s="692"/>
      <c r="I111" s="692"/>
      <c r="J111" s="692"/>
      <c r="K111" s="692"/>
      <c r="L111" s="693"/>
      <c r="M111" s="693"/>
      <c r="N111" s="693"/>
      <c r="O111" s="693"/>
      <c r="P111" s="693"/>
      <c r="Q111" s="693"/>
      <c r="R111" s="693"/>
      <c r="S111" s="693"/>
      <c r="T111" s="693"/>
      <c r="U111" s="693"/>
      <c r="V111" s="693"/>
    </row>
    <row r="112" spans="1:22" s="691" customFormat="1" x14ac:dyDescent="0.35">
      <c r="A112" s="692" t="s">
        <v>66</v>
      </c>
      <c r="B112" s="692" t="s">
        <v>448</v>
      </c>
      <c r="C112" s="692"/>
      <c r="D112" s="692"/>
      <c r="E112" s="692"/>
      <c r="F112" s="692"/>
      <c r="G112" s="692"/>
      <c r="H112" s="692"/>
      <c r="I112" s="692"/>
      <c r="J112" s="692"/>
      <c r="K112" s="692"/>
      <c r="L112" s="693"/>
      <c r="M112" s="693"/>
      <c r="N112" s="693"/>
      <c r="O112" s="693"/>
      <c r="P112" s="693"/>
      <c r="Q112" s="693"/>
      <c r="R112" s="693"/>
      <c r="S112" s="693"/>
      <c r="T112" s="693"/>
      <c r="U112" s="693"/>
      <c r="V112" s="693"/>
    </row>
    <row r="113" spans="1:22" x14ac:dyDescent="0.35">
      <c r="A113" s="692" t="s">
        <v>67</v>
      </c>
      <c r="B113" s="692" t="s">
        <v>448</v>
      </c>
      <c r="C113" s="384"/>
      <c r="D113" s="384"/>
      <c r="E113" s="384"/>
      <c r="F113" s="384"/>
      <c r="G113" s="384"/>
      <c r="H113" s="384"/>
      <c r="I113" s="384"/>
      <c r="J113" s="384"/>
      <c r="K113" s="384"/>
      <c r="L113" s="312"/>
      <c r="M113" s="312"/>
      <c r="N113" s="312"/>
      <c r="O113" s="312"/>
      <c r="P113" s="312"/>
      <c r="Q113" s="312"/>
      <c r="R113" s="312"/>
      <c r="S113" s="312"/>
      <c r="T113" s="312"/>
      <c r="U113" s="312"/>
      <c r="V113" s="312"/>
    </row>
    <row r="114" spans="1:22" x14ac:dyDescent="0.35">
      <c r="A114" s="384"/>
      <c r="B114" s="692"/>
      <c r="C114" s="384"/>
      <c r="D114" s="384"/>
      <c r="E114" s="384"/>
      <c r="F114" s="384"/>
      <c r="G114" s="384"/>
      <c r="H114" s="384"/>
      <c r="I114" s="384"/>
      <c r="J114" s="384"/>
      <c r="K114" s="384"/>
      <c r="L114" s="312"/>
      <c r="M114" s="312"/>
      <c r="N114" s="312"/>
      <c r="O114" s="312"/>
      <c r="P114" s="312"/>
      <c r="Q114" s="312"/>
      <c r="R114" s="312"/>
      <c r="S114" s="312"/>
      <c r="T114" s="312"/>
      <c r="U114" s="312"/>
      <c r="V114" s="312"/>
    </row>
    <row r="115" spans="1:22" x14ac:dyDescent="0.35">
      <c r="A115" s="345" t="s">
        <v>215</v>
      </c>
      <c r="B115" s="384"/>
      <c r="C115" s="384"/>
      <c r="D115" s="384"/>
      <c r="E115" s="384"/>
      <c r="F115" s="384"/>
      <c r="G115" s="384"/>
      <c r="H115" s="384"/>
      <c r="I115" s="384"/>
      <c r="J115" s="384"/>
      <c r="K115" s="384"/>
      <c r="L115" s="312"/>
      <c r="M115" s="312"/>
      <c r="N115" s="312"/>
      <c r="O115" s="312"/>
      <c r="P115" s="312"/>
      <c r="Q115" s="312"/>
      <c r="R115" s="312"/>
      <c r="S115" s="312"/>
      <c r="T115" s="312"/>
      <c r="U115" s="312"/>
      <c r="V115" s="312"/>
    </row>
    <row r="116" spans="1:22" x14ac:dyDescent="0.35">
      <c r="A116" s="384" t="s">
        <v>62</v>
      </c>
      <c r="B116" s="692" t="s">
        <v>447</v>
      </c>
      <c r="C116" s="384"/>
      <c r="D116" s="384"/>
      <c r="E116" s="384"/>
      <c r="F116" s="384"/>
      <c r="G116" s="384"/>
      <c r="H116" s="384"/>
      <c r="I116" s="384"/>
      <c r="J116" s="384"/>
      <c r="K116" s="384"/>
    </row>
    <row r="117" spans="1:22" x14ac:dyDescent="0.35">
      <c r="A117" s="384" t="s">
        <v>63</v>
      </c>
      <c r="B117" s="692" t="s">
        <v>447</v>
      </c>
      <c r="C117" s="384"/>
      <c r="D117" s="384"/>
      <c r="E117" s="384"/>
      <c r="F117" s="384"/>
      <c r="G117" s="384"/>
      <c r="H117" s="384"/>
      <c r="I117" s="384"/>
      <c r="J117" s="384"/>
      <c r="K117" s="384"/>
    </row>
    <row r="118" spans="1:22" x14ac:dyDescent="0.35">
      <c r="A118" s="384" t="s">
        <v>64</v>
      </c>
      <c r="B118" s="692" t="s">
        <v>447</v>
      </c>
      <c r="C118" s="384"/>
      <c r="D118" s="384"/>
      <c r="E118" s="384"/>
      <c r="F118" s="384"/>
      <c r="G118" s="384"/>
      <c r="H118" s="384"/>
      <c r="I118" s="384"/>
      <c r="J118" s="384"/>
      <c r="K118" s="384"/>
    </row>
    <row r="119" spans="1:22" x14ac:dyDescent="0.35">
      <c r="A119" s="384" t="s">
        <v>65</v>
      </c>
      <c r="B119" s="692" t="s">
        <v>447</v>
      </c>
      <c r="C119" s="384"/>
      <c r="D119" s="384"/>
      <c r="E119" s="384"/>
      <c r="F119" s="384"/>
      <c r="G119" s="384"/>
      <c r="H119" s="384"/>
      <c r="I119" s="384"/>
      <c r="J119" s="384"/>
      <c r="K119" s="384"/>
    </row>
    <row r="120" spans="1:22" x14ac:dyDescent="0.35">
      <c r="A120" s="384" t="s">
        <v>66</v>
      </c>
      <c r="B120" s="692" t="s">
        <v>447</v>
      </c>
      <c r="C120" s="384"/>
      <c r="D120" s="384"/>
      <c r="E120" s="384"/>
      <c r="F120" s="384"/>
      <c r="G120" s="384"/>
      <c r="H120" s="384"/>
      <c r="I120" s="384"/>
      <c r="J120" s="384"/>
      <c r="K120" s="384"/>
    </row>
    <row r="121" spans="1:22" x14ac:dyDescent="0.35">
      <c r="A121" s="384" t="s">
        <v>67</v>
      </c>
      <c r="B121" s="692" t="s">
        <v>447</v>
      </c>
      <c r="C121" s="384"/>
      <c r="D121" s="384"/>
      <c r="E121" s="384"/>
      <c r="F121" s="384"/>
      <c r="G121" s="384"/>
      <c r="H121" s="384"/>
      <c r="I121" s="384"/>
      <c r="J121" s="384"/>
      <c r="K121" s="384"/>
    </row>
    <row r="122" spans="1:22" x14ac:dyDescent="0.35">
      <c r="A122" s="384"/>
      <c r="B122" s="384"/>
      <c r="C122" s="384"/>
      <c r="D122" s="384"/>
      <c r="E122" s="384"/>
      <c r="F122" s="384"/>
      <c r="G122" s="384"/>
      <c r="H122" s="384"/>
      <c r="I122" s="384"/>
      <c r="J122" s="384"/>
      <c r="K122" s="384"/>
    </row>
    <row r="123" spans="1:22" x14ac:dyDescent="0.35">
      <c r="A123" s="384"/>
      <c r="B123" s="384"/>
      <c r="C123" s="384"/>
      <c r="D123" s="384"/>
      <c r="E123" s="384"/>
      <c r="F123" s="384"/>
      <c r="G123" s="384"/>
      <c r="H123" s="384"/>
      <c r="I123" s="384"/>
      <c r="J123" s="384"/>
      <c r="K123" s="38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70" zoomScaleNormal="70" workbookViewId="0">
      <selection activeCell="A9" sqref="A9"/>
    </sheetView>
  </sheetViews>
  <sheetFormatPr defaultRowHeight="14.5" x14ac:dyDescent="0.35"/>
  <cols>
    <col min="1" max="1" width="5.90625" customWidth="1"/>
  </cols>
  <sheetData>
    <row r="1" spans="1:2" x14ac:dyDescent="0.35">
      <c r="A1" s="57" t="s">
        <v>147</v>
      </c>
    </row>
    <row r="3" spans="1:2" s="277" customFormat="1" x14ac:dyDescent="0.35">
      <c r="A3" s="205" t="s">
        <v>131</v>
      </c>
    </row>
    <row r="4" spans="1:2" s="277" customFormat="1" x14ac:dyDescent="0.35">
      <c r="A4" s="277">
        <v>1.8</v>
      </c>
      <c r="B4" s="277" t="s">
        <v>219</v>
      </c>
    </row>
    <row r="5" spans="1:2" s="277" customFormat="1" x14ac:dyDescent="0.35">
      <c r="B5" s="277" t="s">
        <v>149</v>
      </c>
    </row>
    <row r="7" spans="1:2" x14ac:dyDescent="0.35">
      <c r="A7" s="409" t="s">
        <v>215</v>
      </c>
    </row>
    <row r="8" spans="1:2" x14ac:dyDescent="0.35">
      <c r="A8">
        <v>1.8</v>
      </c>
      <c r="B8" t="s">
        <v>449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70" zoomScaleNormal="70" workbookViewId="0">
      <selection activeCell="A9" sqref="A9"/>
    </sheetView>
  </sheetViews>
  <sheetFormatPr defaultRowHeight="14.5" x14ac:dyDescent="0.35"/>
  <sheetData>
    <row r="1" spans="1:3" x14ac:dyDescent="0.35">
      <c r="A1" s="57" t="s">
        <v>148</v>
      </c>
    </row>
    <row r="3" spans="1:3" s="277" customFormat="1" x14ac:dyDescent="0.35">
      <c r="A3" s="205" t="s">
        <v>131</v>
      </c>
    </row>
    <row r="4" spans="1:3" s="277" customFormat="1" x14ac:dyDescent="0.35">
      <c r="A4" s="277">
        <v>1.9</v>
      </c>
      <c r="B4" s="277" t="s">
        <v>220</v>
      </c>
    </row>
    <row r="5" spans="1:3" s="277" customFormat="1" x14ac:dyDescent="0.35">
      <c r="B5" s="277" t="s">
        <v>194</v>
      </c>
    </row>
    <row r="7" spans="1:3" x14ac:dyDescent="0.35">
      <c r="A7" s="409" t="s">
        <v>215</v>
      </c>
    </row>
    <row r="8" spans="1:3" x14ac:dyDescent="0.35">
      <c r="A8">
        <v>1.9</v>
      </c>
      <c r="B8" t="s">
        <v>450</v>
      </c>
    </row>
    <row r="11" spans="1:3" x14ac:dyDescent="0.35">
      <c r="A11" s="409"/>
      <c r="B11" s="407"/>
      <c r="C11" s="407"/>
    </row>
    <row r="12" spans="1:3" x14ac:dyDescent="0.35">
      <c r="A12" s="407"/>
      <c r="B12" s="408"/>
      <c r="C12" s="410"/>
    </row>
    <row r="13" spans="1:3" x14ac:dyDescent="0.35">
      <c r="A13" s="407"/>
      <c r="B13" s="407"/>
      <c r="C13" s="407"/>
    </row>
    <row r="14" spans="1:3" x14ac:dyDescent="0.35">
      <c r="B14" s="407"/>
      <c r="C14" s="407"/>
    </row>
    <row r="15" spans="1:3" x14ac:dyDescent="0.35">
      <c r="A15" s="407"/>
      <c r="B15" s="408"/>
      <c r="C15" s="40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zoomScale="70" zoomScaleNormal="70" workbookViewId="0">
      <selection activeCell="E24" sqref="E24"/>
    </sheetView>
  </sheetViews>
  <sheetFormatPr defaultRowHeight="14.5" x14ac:dyDescent="0.35"/>
  <cols>
    <col min="1" max="1" width="7" customWidth="1"/>
    <col min="3" max="3" width="14.36328125" customWidth="1"/>
    <col min="4" max="4" width="7.54296875" customWidth="1"/>
    <col min="5" max="5" width="13.453125" bestFit="1" customWidth="1"/>
    <col min="6" max="6" width="17" customWidth="1"/>
    <col min="7" max="7" width="19.90625" customWidth="1"/>
    <col min="8" max="8" width="16.90625" customWidth="1"/>
  </cols>
  <sheetData>
    <row r="1" spans="1:8" x14ac:dyDescent="0.35">
      <c r="A1" s="457" t="s">
        <v>357</v>
      </c>
    </row>
    <row r="3" spans="1:8" x14ac:dyDescent="0.35">
      <c r="A3" s="57" t="s">
        <v>98</v>
      </c>
      <c r="D3" t="s">
        <v>59</v>
      </c>
      <c r="E3" s="44">
        <v>1</v>
      </c>
      <c r="F3" s="44">
        <v>10</v>
      </c>
      <c r="G3" s="44">
        <v>50</v>
      </c>
      <c r="H3" s="44">
        <v>100</v>
      </c>
    </row>
    <row r="4" spans="1:8" x14ac:dyDescent="0.35">
      <c r="B4">
        <v>2.1</v>
      </c>
      <c r="C4" t="s">
        <v>49</v>
      </c>
      <c r="E4" s="38">
        <f>('CBS (Total)'!J12+'CBS (Total)'!J24+'CBS (Total)'!J27+'CBS (Total)'!J35+'CBS (Total)'!J36+'CBS (Total)'!J18)*E6</f>
        <v>294491.58060000004</v>
      </c>
      <c r="F4" s="38">
        <f>('CBS (Total)'!L12+'CBS (Total)'!L24+'CBS (Total)'!L27+'CBS (Total)'!L35+'CBS (Total)'!L36+'CBS (Total)'!L18)*F6</f>
        <v>1439798.0113943424</v>
      </c>
      <c r="G4" s="38">
        <f>('CBS (Total)'!N12+'CBS (Total)'!N24+'CBS (Total)'!N27+'CBS (Total)'!N35+'CBS (Total)'!N36+'CBS (Total)'!N18)*G6</f>
        <v>2681816.2765862062</v>
      </c>
      <c r="H4" s="38">
        <f>('CBS (Total)'!P12+'CBS (Total)'!P24+'CBS (Total)'!P27+'CBS (Total)'!P35+'CBS (Total)'!P36+'CBS (Total)'!P18)*H6</f>
        <v>2475911.1382258497</v>
      </c>
    </row>
    <row r="6" spans="1:8" x14ac:dyDescent="0.35">
      <c r="C6" t="s">
        <v>349</v>
      </c>
      <c r="E6" s="42">
        <f>C10</f>
        <v>0.02</v>
      </c>
      <c r="F6" s="42">
        <f>C11</f>
        <v>0.02</v>
      </c>
      <c r="G6" s="42">
        <f>C12</f>
        <v>0.01</v>
      </c>
      <c r="H6" s="45">
        <f>C13</f>
        <v>5.0000000000000001E-3</v>
      </c>
    </row>
    <row r="7" spans="1:8" s="516" customFormat="1" x14ac:dyDescent="0.35">
      <c r="E7" s="434"/>
      <c r="F7" s="396"/>
      <c r="G7" s="396"/>
      <c r="H7" s="45"/>
    </row>
    <row r="9" spans="1:8" x14ac:dyDescent="0.35">
      <c r="A9" s="57" t="s">
        <v>71</v>
      </c>
    </row>
    <row r="10" spans="1:8" x14ac:dyDescent="0.35">
      <c r="B10" t="s">
        <v>79</v>
      </c>
      <c r="C10" s="18">
        <v>0.02</v>
      </c>
      <c r="D10" t="s">
        <v>83</v>
      </c>
    </row>
    <row r="11" spans="1:8" x14ac:dyDescent="0.35">
      <c r="B11" t="s">
        <v>80</v>
      </c>
      <c r="C11" s="18">
        <v>0.02</v>
      </c>
    </row>
    <row r="12" spans="1:8" x14ac:dyDescent="0.35">
      <c r="B12" t="s">
        <v>82</v>
      </c>
      <c r="C12" s="18">
        <v>0.01</v>
      </c>
    </row>
    <row r="13" spans="1:8" x14ac:dyDescent="0.35">
      <c r="B13" t="s">
        <v>81</v>
      </c>
      <c r="C13" s="22">
        <v>5.0000000000000001E-3</v>
      </c>
      <c r="D13" t="s">
        <v>84</v>
      </c>
    </row>
    <row r="15" spans="1:8" s="277" customFormat="1" x14ac:dyDescent="0.35">
      <c r="A15" s="205" t="s">
        <v>131</v>
      </c>
    </row>
    <row r="16" spans="1:8" s="277" customFormat="1" x14ac:dyDescent="0.35">
      <c r="A16" s="277">
        <v>2.1</v>
      </c>
      <c r="B16" s="277" t="s">
        <v>221</v>
      </c>
    </row>
    <row r="17" spans="1:2" s="277" customFormat="1" x14ac:dyDescent="0.35">
      <c r="B17" s="277" t="s">
        <v>222</v>
      </c>
    </row>
    <row r="18" spans="1:2" s="277" customFormat="1" x14ac:dyDescent="0.35">
      <c r="B18" s="277" t="s">
        <v>223</v>
      </c>
    </row>
    <row r="19" spans="1:2" s="277" customFormat="1" x14ac:dyDescent="0.35"/>
    <row r="20" spans="1:2" s="277" customFormat="1" x14ac:dyDescent="0.35">
      <c r="A20" s="205" t="s">
        <v>215</v>
      </c>
    </row>
    <row r="21" spans="1:2" s="277" customFormat="1" x14ac:dyDescent="0.35">
      <c r="A21" s="277">
        <v>2.1</v>
      </c>
      <c r="B21" s="277" t="s">
        <v>224</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80" zoomScaleNormal="80" workbookViewId="0">
      <selection activeCell="G37" sqref="G37"/>
    </sheetView>
  </sheetViews>
  <sheetFormatPr defaultRowHeight="14.5" x14ac:dyDescent="0.35"/>
  <cols>
    <col min="1" max="2" width="8.7265625" style="695"/>
    <col min="3" max="3" width="65" style="695" customWidth="1"/>
    <col min="4" max="4" width="12.81640625" style="695" customWidth="1"/>
    <col min="5" max="5" width="9.36328125" style="695" customWidth="1"/>
    <col min="6" max="6" width="12.08984375" style="695" bestFit="1" customWidth="1"/>
    <col min="7" max="7" width="9.90625" style="695" bestFit="1" customWidth="1"/>
    <col min="8" max="16384" width="8.7265625" style="695"/>
  </cols>
  <sheetData>
    <row r="1" spans="1:8" x14ac:dyDescent="0.35">
      <c r="E1" s="766" t="s">
        <v>1338</v>
      </c>
      <c r="F1" s="766">
        <f>'Performance &amp; Economics'!G143</f>
        <v>0.108</v>
      </c>
      <c r="G1" s="766" t="s">
        <v>1339</v>
      </c>
      <c r="H1" s="767">
        <f>'Performance &amp; Economics'!S16</f>
        <v>0.29699999999999993</v>
      </c>
    </row>
    <row r="2" spans="1:8" x14ac:dyDescent="0.35">
      <c r="E2" s="768"/>
      <c r="F2" s="768"/>
      <c r="G2" s="768"/>
      <c r="H2" s="769"/>
    </row>
    <row r="3" spans="1:8" x14ac:dyDescent="0.35">
      <c r="A3" s="657"/>
      <c r="B3" s="268"/>
      <c r="C3" s="268"/>
      <c r="D3" s="770" t="s">
        <v>1340</v>
      </c>
      <c r="E3" s="770" t="s">
        <v>129</v>
      </c>
      <c r="F3" s="770" t="s">
        <v>1341</v>
      </c>
    </row>
    <row r="4" spans="1:8" s="657" customFormat="1" ht="20" customHeight="1" x14ac:dyDescent="0.35">
      <c r="A4" s="673">
        <v>1</v>
      </c>
      <c r="B4" s="771">
        <v>1</v>
      </c>
      <c r="C4" s="772" t="s">
        <v>491</v>
      </c>
      <c r="D4" s="773"/>
      <c r="E4" s="770"/>
      <c r="F4" s="770"/>
    </row>
    <row r="5" spans="1:8" s="657" customFormat="1" ht="20" customHeight="1" x14ac:dyDescent="0.35">
      <c r="A5" s="673">
        <v>1.1000000000000001</v>
      </c>
      <c r="B5" s="771">
        <v>2</v>
      </c>
      <c r="C5" s="772" t="s">
        <v>493</v>
      </c>
      <c r="D5" s="773">
        <f>D6+D7</f>
        <v>3874.5055021726948</v>
      </c>
      <c r="E5" s="774">
        <f>D5/$D$22</f>
        <v>0.68013887847109322</v>
      </c>
      <c r="F5" s="775">
        <f>(D5*$F$1)/($H$1*24*365)*100</f>
        <v>16.083459950903677</v>
      </c>
    </row>
    <row r="6" spans="1:8" ht="20" customHeight="1" x14ac:dyDescent="0.35">
      <c r="A6" s="713" t="s">
        <v>2</v>
      </c>
      <c r="B6" s="723">
        <v>3</v>
      </c>
      <c r="C6" s="724" t="s">
        <v>495</v>
      </c>
      <c r="D6" s="755">
        <f>'DoE CBS'!D10</f>
        <v>2768.3025664513766</v>
      </c>
      <c r="E6" s="776">
        <f t="shared" ref="E6:E21" si="0">D6/$D$22</f>
        <v>0.48595367892988134</v>
      </c>
      <c r="F6" s="777">
        <f t="shared" ref="F6:F21" si="1">(D6*$F$1)/($H$1*24*365)*100</f>
        <v>11.491500898511323</v>
      </c>
    </row>
    <row r="7" spans="1:8" ht="20" customHeight="1" x14ac:dyDescent="0.35">
      <c r="A7" s="713" t="s">
        <v>4</v>
      </c>
      <c r="B7" s="723">
        <v>3</v>
      </c>
      <c r="C7" s="724" t="s">
        <v>535</v>
      </c>
      <c r="D7" s="755">
        <f>'DoE CBS'!D25</f>
        <v>1106.202935721318</v>
      </c>
      <c r="E7" s="776">
        <f t="shared" si="0"/>
        <v>0.19418519954121188</v>
      </c>
      <c r="F7" s="777">
        <f t="shared" si="1"/>
        <v>4.5919590523923546</v>
      </c>
    </row>
    <row r="8" spans="1:8" s="657" customFormat="1" ht="20" customHeight="1" x14ac:dyDescent="0.35">
      <c r="A8" s="673">
        <v>1.2</v>
      </c>
      <c r="B8" s="771">
        <v>2</v>
      </c>
      <c r="C8" s="772" t="s">
        <v>630</v>
      </c>
      <c r="D8" s="773">
        <f>SUM(D9:D16)</f>
        <v>1304.2570134560974</v>
      </c>
      <c r="E8" s="774">
        <f t="shared" si="0"/>
        <v>0.22895203061981581</v>
      </c>
      <c r="F8" s="775">
        <f t="shared" si="1"/>
        <v>5.4141013426986202</v>
      </c>
    </row>
    <row r="9" spans="1:8" ht="20" customHeight="1" x14ac:dyDescent="0.35">
      <c r="A9" s="695" t="s">
        <v>9</v>
      </c>
      <c r="B9" s="723">
        <v>3</v>
      </c>
      <c r="C9" s="724" t="s">
        <v>632</v>
      </c>
      <c r="D9" s="755">
        <f>'DoE CBS'!D59</f>
        <v>74.607765306122445</v>
      </c>
      <c r="E9" s="776">
        <f t="shared" si="0"/>
        <v>1.3096804686968517E-2</v>
      </c>
      <c r="F9" s="777">
        <f t="shared" si="1"/>
        <v>0.30970429765928792</v>
      </c>
    </row>
    <row r="10" spans="1:8" ht="20" customHeight="1" x14ac:dyDescent="0.35">
      <c r="A10" s="695" t="s">
        <v>11</v>
      </c>
      <c r="B10" s="723">
        <v>3</v>
      </c>
      <c r="C10" s="724" t="s">
        <v>724</v>
      </c>
      <c r="D10" s="755">
        <f>'DoE CBS'!D90</f>
        <v>51.274876392364284</v>
      </c>
      <c r="E10" s="776">
        <f t="shared" si="0"/>
        <v>9.0009000900090012E-3</v>
      </c>
      <c r="F10" s="777">
        <f t="shared" si="1"/>
        <v>0.21284714152081485</v>
      </c>
    </row>
    <row r="11" spans="1:8" ht="20" customHeight="1" x14ac:dyDescent="0.35">
      <c r="A11" s="695" t="s">
        <v>13</v>
      </c>
      <c r="B11" s="723">
        <v>3</v>
      </c>
      <c r="C11" s="724" t="s">
        <v>755</v>
      </c>
      <c r="D11" s="755">
        <f>'DoE CBS'!D101</f>
        <v>231.13620180296223</v>
      </c>
      <c r="E11" s="776">
        <f t="shared" si="0"/>
        <v>4.0574137004110535E-2</v>
      </c>
      <c r="F11" s="777">
        <f t="shared" si="1"/>
        <v>0.95946949689897176</v>
      </c>
    </row>
    <row r="12" spans="1:8" ht="20" customHeight="1" x14ac:dyDescent="0.35">
      <c r="A12" s="695" t="s">
        <v>15</v>
      </c>
      <c r="B12" s="723">
        <v>3</v>
      </c>
      <c r="C12" s="724" t="s">
        <v>980</v>
      </c>
      <c r="D12" s="758">
        <f>'DoE CBS'!D185</f>
        <v>0</v>
      </c>
      <c r="E12" s="776">
        <f t="shared" si="0"/>
        <v>0</v>
      </c>
      <c r="F12" s="777">
        <f t="shared" si="1"/>
        <v>0</v>
      </c>
    </row>
    <row r="13" spans="1:8" ht="20" customHeight="1" x14ac:dyDescent="0.35">
      <c r="A13" s="695" t="s">
        <v>16</v>
      </c>
      <c r="B13" s="723">
        <v>3</v>
      </c>
      <c r="C13" s="724" t="s">
        <v>982</v>
      </c>
      <c r="D13" s="758">
        <f>'DoE CBS'!D186</f>
        <v>0</v>
      </c>
      <c r="E13" s="776">
        <f t="shared" si="0"/>
        <v>0</v>
      </c>
      <c r="F13" s="777">
        <f t="shared" si="1"/>
        <v>0</v>
      </c>
    </row>
    <row r="14" spans="1:8" ht="20" customHeight="1" x14ac:dyDescent="0.35">
      <c r="A14" s="695" t="s">
        <v>1017</v>
      </c>
      <c r="B14" s="723">
        <v>3</v>
      </c>
      <c r="C14" s="724" t="s">
        <v>1018</v>
      </c>
      <c r="D14" s="755">
        <f>'DoE CBS'!D198</f>
        <v>386.32235362811792</v>
      </c>
      <c r="E14" s="776">
        <f t="shared" si="0"/>
        <v>6.7815841835196275E-2</v>
      </c>
      <c r="F14" s="777">
        <f t="shared" si="1"/>
        <v>1.6036627381823081</v>
      </c>
    </row>
    <row r="15" spans="1:8" ht="20" customHeight="1" x14ac:dyDescent="0.35">
      <c r="A15" s="695" t="s">
        <v>1099</v>
      </c>
      <c r="B15" s="723">
        <v>3</v>
      </c>
      <c r="C15" s="724" t="s">
        <v>1100</v>
      </c>
      <c r="D15" s="755">
        <f>'DoE CBS'!D227</f>
        <v>78.979591836734699</v>
      </c>
      <c r="E15" s="776">
        <f t="shared" si="0"/>
        <v>1.3864244349070786E-2</v>
      </c>
      <c r="F15" s="777">
        <f t="shared" si="1"/>
        <v>0.32785218695199136</v>
      </c>
    </row>
    <row r="16" spans="1:8" ht="20" customHeight="1" x14ac:dyDescent="0.35">
      <c r="A16" s="695" t="s">
        <v>1117</v>
      </c>
      <c r="B16" s="723">
        <v>3</v>
      </c>
      <c r="C16" s="724" t="s">
        <v>1118</v>
      </c>
      <c r="D16" s="755">
        <f>'DoE CBS'!D233</f>
        <v>481.9362244897959</v>
      </c>
      <c r="E16" s="776">
        <f t="shared" si="0"/>
        <v>8.4600102654460704E-2</v>
      </c>
      <c r="F16" s="777">
        <f t="shared" si="1"/>
        <v>2.0005654814852472</v>
      </c>
    </row>
    <row r="17" spans="1:6" s="657" customFormat="1" ht="20" customHeight="1" x14ac:dyDescent="0.35">
      <c r="A17" s="673">
        <v>1.3</v>
      </c>
      <c r="B17" s="771">
        <v>2</v>
      </c>
      <c r="C17" s="772" t="s">
        <v>1195</v>
      </c>
      <c r="D17" s="778">
        <f>SUM(D18:D21)</f>
        <v>517.87625156287936</v>
      </c>
      <c r="E17" s="774">
        <f t="shared" si="0"/>
        <v>9.0909090909090925E-2</v>
      </c>
      <c r="F17" s="775">
        <f t="shared" si="1"/>
        <v>2.1497561293602305</v>
      </c>
    </row>
    <row r="18" spans="1:6" ht="20" customHeight="1" x14ac:dyDescent="0.35">
      <c r="A18" s="695" t="s">
        <v>19</v>
      </c>
      <c r="B18" s="723">
        <v>3</v>
      </c>
      <c r="C18" s="724" t="s">
        <v>1197</v>
      </c>
      <c r="D18" s="760">
        <f>'DoE CBS'!D261</f>
        <v>517.87625156287936</v>
      </c>
      <c r="E18" s="776">
        <f t="shared" si="0"/>
        <v>9.0909090909090925E-2</v>
      </c>
      <c r="F18" s="777">
        <f t="shared" si="1"/>
        <v>2.1497561293602305</v>
      </c>
    </row>
    <row r="19" spans="1:6" ht="20" customHeight="1" x14ac:dyDescent="0.35">
      <c r="A19" s="695" t="s">
        <v>21</v>
      </c>
      <c r="B19" s="723">
        <v>3</v>
      </c>
      <c r="C19" s="724" t="s">
        <v>1199</v>
      </c>
      <c r="D19" s="758">
        <v>0</v>
      </c>
      <c r="E19" s="776">
        <f t="shared" si="0"/>
        <v>0</v>
      </c>
      <c r="F19" s="777">
        <f t="shared" si="1"/>
        <v>0</v>
      </c>
    </row>
    <row r="20" spans="1:6" ht="20" customHeight="1" x14ac:dyDescent="0.35">
      <c r="A20" s="695" t="s">
        <v>23</v>
      </c>
      <c r="B20" s="723">
        <v>3</v>
      </c>
      <c r="C20" s="724" t="s">
        <v>1201</v>
      </c>
      <c r="D20" s="758">
        <v>0</v>
      </c>
      <c r="E20" s="776">
        <f t="shared" si="0"/>
        <v>0</v>
      </c>
      <c r="F20" s="777">
        <f t="shared" si="1"/>
        <v>0</v>
      </c>
    </row>
    <row r="21" spans="1:6" ht="20" customHeight="1" x14ac:dyDescent="0.35">
      <c r="A21" s="695" t="s">
        <v>24</v>
      </c>
      <c r="B21" s="723">
        <v>3</v>
      </c>
      <c r="C21" s="724" t="s">
        <v>1203</v>
      </c>
      <c r="D21" s="758">
        <v>0</v>
      </c>
      <c r="E21" s="776">
        <f t="shared" si="0"/>
        <v>0</v>
      </c>
      <c r="F21" s="777">
        <f t="shared" si="1"/>
        <v>0</v>
      </c>
    </row>
    <row r="22" spans="1:6" ht="20" customHeight="1" x14ac:dyDescent="0.35">
      <c r="B22" s="657" t="s">
        <v>70</v>
      </c>
      <c r="C22" s="657"/>
      <c r="D22" s="701">
        <f>D17+D8+D5</f>
        <v>5696.6387671916718</v>
      </c>
      <c r="E22" s="118"/>
      <c r="F22" s="779">
        <f>F17+F8+F5</f>
        <v>23.64731742296253</v>
      </c>
    </row>
    <row r="23" spans="1:6" ht="20" customHeight="1" x14ac:dyDescent="0.35">
      <c r="B23" s="657"/>
      <c r="C23" s="657"/>
      <c r="D23" s="701"/>
      <c r="E23" s="118"/>
      <c r="F23" s="779"/>
    </row>
    <row r="24" spans="1:6" ht="20" customHeight="1" x14ac:dyDescent="0.35">
      <c r="A24" s="721" t="s">
        <v>488</v>
      </c>
      <c r="B24" s="780" t="s">
        <v>489</v>
      </c>
      <c r="C24" s="780" t="s">
        <v>101</v>
      </c>
      <c r="D24" s="780" t="s">
        <v>1342</v>
      </c>
      <c r="E24" s="780" t="s">
        <v>129</v>
      </c>
      <c r="F24" s="780" t="s">
        <v>1343</v>
      </c>
    </row>
    <row r="25" spans="1:6" s="657" customFormat="1" ht="20" customHeight="1" x14ac:dyDescent="0.35">
      <c r="A25" s="673">
        <v>2</v>
      </c>
      <c r="B25" s="771">
        <v>1</v>
      </c>
      <c r="C25" s="772" t="s">
        <v>1215</v>
      </c>
      <c r="D25" s="773"/>
      <c r="E25" s="770"/>
      <c r="F25" s="770"/>
    </row>
    <row r="26" spans="1:6" s="657" customFormat="1" ht="20" customHeight="1" x14ac:dyDescent="0.35">
      <c r="A26" s="673">
        <v>2.1</v>
      </c>
      <c r="B26" s="771">
        <v>2</v>
      </c>
      <c r="C26" s="772" t="s">
        <v>1217</v>
      </c>
      <c r="D26" s="773">
        <f>SUM(D27:D30)</f>
        <v>36.703174879855609</v>
      </c>
      <c r="E26" s="774">
        <f>D26/$D$35</f>
        <v>0.25256955216657123</v>
      </c>
      <c r="F26" s="775">
        <f>D26/(24*365*$H$1)*100</f>
        <v>1.4107273219199461</v>
      </c>
    </row>
    <row r="27" spans="1:6" ht="20" customHeight="1" x14ac:dyDescent="0.35">
      <c r="A27" s="695" t="s">
        <v>1219</v>
      </c>
      <c r="B27" s="723">
        <v>3</v>
      </c>
      <c r="C27" s="724" t="s">
        <v>1220</v>
      </c>
      <c r="D27" s="755">
        <f>'DoE CBS'!D273</f>
        <v>11.438775510204081</v>
      </c>
      <c r="E27" s="776">
        <f t="shared" ref="E27:E34" si="2">D27/$D$35</f>
        <v>7.8714890943449439E-2</v>
      </c>
      <c r="F27" s="777">
        <f t="shared" ref="F27:F34" si="3">D27/(24*365*$H$1)*100</f>
        <v>0.43966205088188137</v>
      </c>
    </row>
    <row r="28" spans="1:6" ht="20" customHeight="1" x14ac:dyDescent="0.35">
      <c r="A28" s="695" t="s">
        <v>1228</v>
      </c>
      <c r="B28" s="723">
        <v>3</v>
      </c>
      <c r="C28" s="724" t="s">
        <v>1229</v>
      </c>
      <c r="D28" s="758">
        <v>0</v>
      </c>
      <c r="E28" s="776">
        <f t="shared" si="2"/>
        <v>0</v>
      </c>
      <c r="F28" s="777">
        <f t="shared" si="3"/>
        <v>0</v>
      </c>
    </row>
    <row r="29" spans="1:6" ht="20" customHeight="1" x14ac:dyDescent="0.35">
      <c r="A29" s="695" t="s">
        <v>1243</v>
      </c>
      <c r="B29" s="723">
        <v>3</v>
      </c>
      <c r="C29" s="724" t="s">
        <v>1244</v>
      </c>
      <c r="D29" s="755">
        <f>'DoE CBS'!D281</f>
        <v>25.264399369651528</v>
      </c>
      <c r="E29" s="776">
        <f t="shared" si="2"/>
        <v>0.17385466122312179</v>
      </c>
      <c r="F29" s="777">
        <f t="shared" si="3"/>
        <v>0.97106527103806473</v>
      </c>
    </row>
    <row r="30" spans="1:6" ht="20" customHeight="1" x14ac:dyDescent="0.35">
      <c r="A30" s="695" t="s">
        <v>1246</v>
      </c>
      <c r="B30" s="723">
        <v>3</v>
      </c>
      <c r="C30" s="724" t="s">
        <v>1247</v>
      </c>
      <c r="D30" s="758">
        <f>'DoE CBS'!D282</f>
        <v>0</v>
      </c>
      <c r="E30" s="776">
        <f t="shared" si="2"/>
        <v>0</v>
      </c>
      <c r="F30" s="777">
        <f t="shared" si="3"/>
        <v>0</v>
      </c>
    </row>
    <row r="31" spans="1:6" s="657" customFormat="1" ht="20" customHeight="1" x14ac:dyDescent="0.35">
      <c r="A31" s="673">
        <v>2.2000000000000002</v>
      </c>
      <c r="B31" s="771">
        <v>2</v>
      </c>
      <c r="C31" s="772" t="s">
        <v>1278</v>
      </c>
      <c r="D31" s="781">
        <f>SUM(D32:D34)</f>
        <v>108.61590481526785</v>
      </c>
      <c r="E31" s="774">
        <f t="shared" si="2"/>
        <v>0.74743044783342871</v>
      </c>
      <c r="F31" s="775">
        <f t="shared" si="3"/>
        <v>4.1747730276612351</v>
      </c>
    </row>
    <row r="32" spans="1:6" ht="20" customHeight="1" x14ac:dyDescent="0.35">
      <c r="A32" s="695" t="s">
        <v>1280</v>
      </c>
      <c r="B32" s="723">
        <v>3</v>
      </c>
      <c r="C32" s="724" t="s">
        <v>1281</v>
      </c>
      <c r="D32" s="758">
        <f>'DoE CBS'!D294</f>
        <v>0</v>
      </c>
      <c r="E32" s="776">
        <f t="shared" si="2"/>
        <v>0</v>
      </c>
      <c r="F32" s="777">
        <f t="shared" si="3"/>
        <v>0</v>
      </c>
    </row>
    <row r="33" spans="1:6" ht="20" customHeight="1" x14ac:dyDescent="0.35">
      <c r="A33" s="695" t="s">
        <v>1283</v>
      </c>
      <c r="B33" s="723">
        <v>3</v>
      </c>
      <c r="C33" s="724" t="s">
        <v>1284</v>
      </c>
      <c r="D33" s="759">
        <f>'DoE CBS'!D295</f>
        <v>54.307952407633927</v>
      </c>
      <c r="E33" s="776">
        <f t="shared" si="2"/>
        <v>0.37371522391671436</v>
      </c>
      <c r="F33" s="777">
        <f t="shared" si="3"/>
        <v>2.0873865138306176</v>
      </c>
    </row>
    <row r="34" spans="1:6" ht="20" customHeight="1" x14ac:dyDescent="0.35">
      <c r="A34" s="695" t="s">
        <v>1313</v>
      </c>
      <c r="B34" s="723">
        <v>3</v>
      </c>
      <c r="C34" s="724" t="s">
        <v>1314</v>
      </c>
      <c r="D34" s="761">
        <f>'DoE CBS'!D305</f>
        <v>54.307952407633927</v>
      </c>
      <c r="E34" s="776">
        <f t="shared" si="2"/>
        <v>0.37371522391671436</v>
      </c>
      <c r="F34" s="777">
        <f t="shared" si="3"/>
        <v>2.0873865138306176</v>
      </c>
    </row>
    <row r="35" spans="1:6" x14ac:dyDescent="0.35">
      <c r="B35" s="657" t="s">
        <v>70</v>
      </c>
      <c r="D35" s="701">
        <f>D31+D26</f>
        <v>145.31907969512346</v>
      </c>
      <c r="E35" s="782">
        <f>D35/$D$35</f>
        <v>1</v>
      </c>
      <c r="F35" s="779">
        <f>F31+F26</f>
        <v>5.5855003495811815</v>
      </c>
    </row>
    <row r="36" spans="1:6" x14ac:dyDescent="0.35">
      <c r="B36" s="154" t="s">
        <v>1344</v>
      </c>
      <c r="C36" s="154"/>
      <c r="D36" s="154"/>
      <c r="E36" s="154"/>
      <c r="F36" s="783">
        <f>F35+F22</f>
        <v>29.232817772543711</v>
      </c>
    </row>
  </sheetData>
  <conditionalFormatting sqref="B4:D4">
    <cfRule type="expression" dxfId="7" priority="1">
      <formula>#REF!=1</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23"/>
  <sheetViews>
    <sheetView zoomScale="70" zoomScaleNormal="70" workbookViewId="0">
      <selection activeCell="E15" sqref="E15"/>
    </sheetView>
  </sheetViews>
  <sheetFormatPr defaultRowHeight="14.5" x14ac:dyDescent="0.35"/>
  <cols>
    <col min="1" max="1" width="4.08984375" customWidth="1"/>
    <col min="2" max="2" width="4.453125" customWidth="1"/>
    <col min="3" max="3" width="55.453125" customWidth="1"/>
    <col min="4" max="4" width="14.6328125" customWidth="1"/>
    <col min="5" max="7" width="14.08984375" customWidth="1"/>
    <col min="8" max="8" width="15.36328125" customWidth="1"/>
    <col min="9" max="9" width="16.453125" customWidth="1"/>
    <col min="10" max="10" width="25.453125" customWidth="1"/>
    <col min="12" max="12" width="9.08984375" style="277"/>
    <col min="13" max="13" width="21.90625" customWidth="1"/>
    <col min="14" max="14" width="20.453125" customWidth="1"/>
    <col min="15" max="15" width="14" customWidth="1"/>
  </cols>
  <sheetData>
    <row r="1" spans="1:20" s="516" customFormat="1" x14ac:dyDescent="0.35">
      <c r="A1" s="457" t="s">
        <v>358</v>
      </c>
    </row>
    <row r="3" spans="1:20" x14ac:dyDescent="0.35">
      <c r="A3" s="57" t="s">
        <v>98</v>
      </c>
      <c r="B3" s="56"/>
      <c r="C3" s="56"/>
      <c r="E3" s="61">
        <v>1</v>
      </c>
      <c r="F3" s="61">
        <v>10</v>
      </c>
      <c r="G3" s="61">
        <v>50</v>
      </c>
      <c r="H3" s="61">
        <v>100</v>
      </c>
    </row>
    <row r="4" spans="1:20" x14ac:dyDescent="0.35">
      <c r="A4" s="57"/>
      <c r="B4" s="56">
        <v>2.2000000000000002</v>
      </c>
      <c r="C4" s="56" t="s">
        <v>50</v>
      </c>
      <c r="E4" s="197">
        <f>E17</f>
        <v>710000</v>
      </c>
      <c r="F4" s="209">
        <f>F17</f>
        <v>1121000</v>
      </c>
      <c r="G4" s="209">
        <f>G17</f>
        <v>1121000</v>
      </c>
      <c r="H4" s="197">
        <f>G17</f>
        <v>1121000</v>
      </c>
    </row>
    <row r="6" spans="1:20" x14ac:dyDescent="0.35">
      <c r="H6" s="207"/>
      <c r="I6" s="207"/>
      <c r="J6" s="240"/>
      <c r="K6" s="240"/>
      <c r="L6" s="240"/>
      <c r="M6" s="240"/>
      <c r="N6" s="240"/>
      <c r="O6" s="207"/>
      <c r="P6" s="207"/>
      <c r="Q6" s="207"/>
      <c r="R6" s="207"/>
      <c r="S6" s="207"/>
      <c r="T6" s="207"/>
    </row>
    <row r="7" spans="1:20" x14ac:dyDescent="0.35">
      <c r="H7" s="207"/>
      <c r="I7" s="207"/>
      <c r="J7" s="207"/>
      <c r="K7" s="240"/>
      <c r="L7" s="240"/>
      <c r="M7" s="240"/>
      <c r="N7" s="240"/>
      <c r="O7" s="207"/>
      <c r="P7" s="207"/>
      <c r="Q7" s="207"/>
      <c r="R7" s="207"/>
      <c r="S7" s="207"/>
      <c r="T7" s="207"/>
    </row>
    <row r="8" spans="1:20" ht="15" customHeight="1" x14ac:dyDescent="0.35">
      <c r="A8" s="195" t="s">
        <v>229</v>
      </c>
      <c r="C8" s="196"/>
      <c r="D8" s="206"/>
      <c r="E8" s="206" t="s">
        <v>73</v>
      </c>
      <c r="F8" s="219" t="s">
        <v>75</v>
      </c>
      <c r="G8" s="294" t="s">
        <v>225</v>
      </c>
      <c r="H8" s="289"/>
      <c r="I8" s="287"/>
      <c r="J8" s="799"/>
      <c r="K8" s="799"/>
      <c r="L8" s="799"/>
      <c r="M8" s="207"/>
      <c r="N8" s="207"/>
      <c r="O8" s="207"/>
      <c r="P8" s="207"/>
      <c r="Q8" s="207"/>
    </row>
    <row r="9" spans="1:20" x14ac:dyDescent="0.35">
      <c r="A9" s="205"/>
      <c r="B9" s="50"/>
      <c r="C9" s="53"/>
      <c r="E9" s="277"/>
      <c r="F9" s="284"/>
      <c r="G9" s="288"/>
      <c r="H9" s="288"/>
      <c r="I9" s="282"/>
      <c r="J9" s="800"/>
      <c r="K9" s="800"/>
      <c r="L9" s="800"/>
      <c r="M9" s="207"/>
      <c r="N9" s="207"/>
      <c r="O9" s="207"/>
      <c r="P9" s="207"/>
      <c r="Q9" s="207"/>
    </row>
    <row r="10" spans="1:20" ht="15" customHeight="1" x14ac:dyDescent="0.35">
      <c r="A10" s="205"/>
      <c r="B10" s="50"/>
      <c r="C10" s="401" t="s">
        <v>242</v>
      </c>
      <c r="D10" s="62"/>
      <c r="E10" s="62">
        <v>237500</v>
      </c>
      <c r="F10" s="434">
        <f>E10</f>
        <v>237500</v>
      </c>
      <c r="G10" s="434">
        <f>E10</f>
        <v>237500</v>
      </c>
      <c r="H10" s="285"/>
      <c r="I10" s="285"/>
      <c r="J10" s="286"/>
      <c r="K10" s="286"/>
      <c r="L10" s="285"/>
      <c r="M10" s="207"/>
      <c r="N10" s="207"/>
      <c r="O10" s="207"/>
      <c r="P10" s="207"/>
      <c r="Q10" s="207"/>
    </row>
    <row r="11" spans="1:20" x14ac:dyDescent="0.35">
      <c r="A11" s="205"/>
      <c r="B11" s="50"/>
      <c r="C11" s="401" t="s">
        <v>243</v>
      </c>
      <c r="D11" s="62"/>
      <c r="E11" s="62">
        <v>237500</v>
      </c>
      <c r="F11" s="434">
        <f t="shared" ref="F11:F14" si="0">E11</f>
        <v>237500</v>
      </c>
      <c r="G11" s="434">
        <f t="shared" ref="G11:G14" si="1">E11</f>
        <v>237500</v>
      </c>
      <c r="H11" s="285"/>
      <c r="I11" s="285"/>
      <c r="J11" s="285"/>
      <c r="K11" s="29"/>
      <c r="L11" s="46"/>
      <c r="M11" s="207"/>
      <c r="N11" s="207"/>
      <c r="O11" s="207"/>
      <c r="P11" s="207"/>
      <c r="Q11" s="207"/>
    </row>
    <row r="12" spans="1:20" x14ac:dyDescent="0.35">
      <c r="A12" s="205"/>
      <c r="B12" s="50"/>
      <c r="C12" s="401" t="s">
        <v>239</v>
      </c>
      <c r="D12" s="62"/>
      <c r="E12" s="62">
        <v>112500</v>
      </c>
      <c r="F12" s="434">
        <f t="shared" si="0"/>
        <v>112500</v>
      </c>
      <c r="G12" s="434">
        <f t="shared" si="1"/>
        <v>112500</v>
      </c>
      <c r="H12" s="285"/>
      <c r="I12" s="285"/>
      <c r="J12" s="285"/>
      <c r="K12" s="29"/>
      <c r="L12" s="46"/>
      <c r="M12" s="207"/>
      <c r="N12" s="207"/>
      <c r="O12" s="207"/>
      <c r="P12" s="207"/>
      <c r="Q12" s="207"/>
    </row>
    <row r="13" spans="1:20" s="390" customFormat="1" x14ac:dyDescent="0.35">
      <c r="A13" s="395"/>
      <c r="B13" s="400"/>
      <c r="C13" s="401" t="s">
        <v>244</v>
      </c>
      <c r="D13" s="392"/>
      <c r="E13" s="392">
        <v>80000</v>
      </c>
      <c r="F13" s="434">
        <f t="shared" si="0"/>
        <v>80000</v>
      </c>
      <c r="G13" s="434">
        <f t="shared" si="1"/>
        <v>80000</v>
      </c>
      <c r="H13" s="378"/>
      <c r="I13" s="378"/>
      <c r="J13" s="378"/>
      <c r="K13" s="399"/>
      <c r="L13" s="398"/>
      <c r="M13" s="397"/>
      <c r="N13" s="397"/>
      <c r="O13" s="397"/>
      <c r="P13" s="397"/>
      <c r="Q13" s="397"/>
    </row>
    <row r="14" spans="1:20" x14ac:dyDescent="0.35">
      <c r="A14" s="205"/>
      <c r="B14" s="50"/>
      <c r="C14" s="401" t="s">
        <v>245</v>
      </c>
      <c r="D14" s="62"/>
      <c r="E14" s="62">
        <v>42500</v>
      </c>
      <c r="F14" s="434">
        <f t="shared" si="0"/>
        <v>42500</v>
      </c>
      <c r="G14" s="434">
        <f t="shared" si="1"/>
        <v>42500</v>
      </c>
      <c r="H14" s="285"/>
      <c r="I14" s="285"/>
      <c r="J14" s="285"/>
      <c r="K14" s="29"/>
      <c r="L14" s="46"/>
      <c r="M14" s="207"/>
      <c r="N14" s="207"/>
      <c r="O14" s="207"/>
      <c r="P14" s="207"/>
      <c r="Q14" s="207"/>
    </row>
    <row r="15" spans="1:20" s="277" customFormat="1" x14ac:dyDescent="0.35">
      <c r="A15" s="205"/>
      <c r="B15" s="50"/>
      <c r="C15" s="401" t="s">
        <v>228</v>
      </c>
      <c r="D15" s="62"/>
      <c r="E15" s="62"/>
      <c r="F15" s="392">
        <f>411000</f>
        <v>411000</v>
      </c>
      <c r="G15" s="434">
        <f>411000</f>
        <v>411000</v>
      </c>
      <c r="H15" s="285"/>
      <c r="I15" s="285"/>
      <c r="J15" s="285"/>
      <c r="K15" s="29"/>
      <c r="L15" s="46"/>
      <c r="M15" s="207"/>
      <c r="N15" s="207"/>
      <c r="O15" s="207"/>
      <c r="P15" s="207"/>
      <c r="Q15" s="207"/>
    </row>
    <row r="16" spans="1:20" s="277" customFormat="1" ht="15.5" x14ac:dyDescent="0.35">
      <c r="A16" s="205"/>
      <c r="B16" s="50"/>
      <c r="C16" s="283"/>
      <c r="D16" s="62"/>
      <c r="E16" s="62"/>
      <c r="F16" s="284"/>
      <c r="G16" s="286"/>
      <c r="H16" s="285"/>
      <c r="I16" s="285"/>
      <c r="J16" s="285"/>
      <c r="K16" s="29"/>
      <c r="L16" s="46"/>
      <c r="M16" s="207"/>
      <c r="N16" s="207"/>
      <c r="O16" s="207"/>
      <c r="P16" s="207"/>
      <c r="Q16" s="207"/>
    </row>
    <row r="17" spans="1:20" s="277" customFormat="1" x14ac:dyDescent="0.35">
      <c r="A17" s="205"/>
      <c r="B17" s="37"/>
      <c r="C17" s="295" t="s">
        <v>70</v>
      </c>
      <c r="D17" s="203"/>
      <c r="E17" s="203">
        <f>SUM(E10:E15)</f>
        <v>710000</v>
      </c>
      <c r="F17" s="203">
        <f>SUM(F10:F15)</f>
        <v>1121000</v>
      </c>
      <c r="G17" s="203">
        <f>SUM(G10:G15)</f>
        <v>1121000</v>
      </c>
      <c r="H17" s="29"/>
      <c r="I17" s="29"/>
      <c r="J17" s="29"/>
      <c r="K17" s="29"/>
      <c r="L17" s="46"/>
      <c r="M17" s="207"/>
      <c r="N17" s="207"/>
      <c r="O17" s="207"/>
      <c r="P17" s="207"/>
      <c r="Q17" s="207"/>
    </row>
    <row r="18" spans="1:20" s="277" customFormat="1" x14ac:dyDescent="0.35">
      <c r="A18" s="205"/>
      <c r="B18" s="37"/>
      <c r="C18" s="51"/>
      <c r="E18" s="284"/>
      <c r="F18" s="284"/>
      <c r="G18" s="358"/>
      <c r="H18" s="284"/>
      <c r="I18" s="29"/>
      <c r="J18" s="29"/>
      <c r="K18" s="29"/>
      <c r="L18" s="29"/>
      <c r="M18" s="29"/>
      <c r="N18" s="29"/>
      <c r="O18" s="46"/>
      <c r="P18" s="207"/>
      <c r="Q18" s="207"/>
      <c r="R18" s="207"/>
      <c r="S18" s="207"/>
      <c r="T18" s="207"/>
    </row>
    <row r="19" spans="1:20" x14ac:dyDescent="0.35">
      <c r="A19" s="205" t="s">
        <v>131</v>
      </c>
      <c r="B19" s="277"/>
      <c r="C19" s="277"/>
      <c r="H19" s="207"/>
      <c r="I19" s="207"/>
      <c r="J19" s="207"/>
      <c r="K19" s="207"/>
      <c r="L19" s="207"/>
      <c r="M19" s="207"/>
      <c r="N19" s="207"/>
      <c r="O19" s="207"/>
      <c r="P19" s="207"/>
      <c r="Q19" s="207"/>
      <c r="R19" s="207"/>
      <c r="S19" s="207"/>
      <c r="T19" s="207"/>
    </row>
    <row r="20" spans="1:20" x14ac:dyDescent="0.35">
      <c r="A20" s="277"/>
      <c r="B20" s="37">
        <v>2.2000000000000002</v>
      </c>
      <c r="C20" s="240" t="s">
        <v>230</v>
      </c>
      <c r="H20" s="207"/>
      <c r="I20" s="207"/>
      <c r="J20" s="207"/>
      <c r="K20" s="207"/>
      <c r="L20" s="207"/>
      <c r="M20" s="207"/>
      <c r="N20" s="207"/>
      <c r="O20" s="207"/>
      <c r="P20" s="207"/>
      <c r="Q20" s="207"/>
      <c r="R20" s="207"/>
      <c r="S20" s="207"/>
      <c r="T20" s="207"/>
    </row>
    <row r="21" spans="1:20" s="277" customFormat="1" x14ac:dyDescent="0.35"/>
    <row r="22" spans="1:20" x14ac:dyDescent="0.35">
      <c r="A22" s="205" t="s">
        <v>215</v>
      </c>
      <c r="B22" s="277"/>
      <c r="C22" s="277"/>
    </row>
    <row r="23" spans="1:20" x14ac:dyDescent="0.35">
      <c r="B23" s="37">
        <v>2.2000000000000002</v>
      </c>
      <c r="C23" s="277" t="s">
        <v>231</v>
      </c>
    </row>
  </sheetData>
  <mergeCells count="2">
    <mergeCell ref="J8:L8"/>
    <mergeCell ref="J9:L9"/>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79"/>
  <sheetViews>
    <sheetView topLeftCell="A25" zoomScale="70" zoomScaleNormal="70" workbookViewId="0">
      <selection activeCell="D1" sqref="D1"/>
    </sheetView>
  </sheetViews>
  <sheetFormatPr defaultRowHeight="14.5" x14ac:dyDescent="0.35"/>
  <cols>
    <col min="1" max="1" width="5.08984375" customWidth="1"/>
    <col min="2" max="2" width="3.6328125" style="516" customWidth="1"/>
    <col min="3" max="3" width="37.453125" customWidth="1"/>
    <col min="4" max="4" width="31.6328125" customWidth="1"/>
    <col min="5" max="5" width="18" bestFit="1" customWidth="1"/>
    <col min="6" max="7" width="14.54296875" customWidth="1"/>
    <col min="8" max="8" width="17.08984375" customWidth="1"/>
    <col min="9" max="9" width="20.08984375" customWidth="1"/>
    <col min="12" max="12" width="17.36328125" customWidth="1"/>
    <col min="13" max="13" width="25.6328125" customWidth="1"/>
    <col min="14" max="14" width="22.36328125" customWidth="1"/>
  </cols>
  <sheetData>
    <row r="1" spans="1:9" s="516" customFormat="1" x14ac:dyDescent="0.35">
      <c r="A1" s="457" t="s">
        <v>359</v>
      </c>
      <c r="B1" s="457"/>
    </row>
    <row r="2" spans="1:9" s="56" customFormat="1" x14ac:dyDescent="0.35">
      <c r="B2" s="516"/>
    </row>
    <row r="3" spans="1:9" s="56" customFormat="1" x14ac:dyDescent="0.35">
      <c r="A3" s="57" t="s">
        <v>98</v>
      </c>
      <c r="B3" s="457"/>
    </row>
    <row r="4" spans="1:9" s="56" customFormat="1" x14ac:dyDescent="0.35">
      <c r="B4" s="516"/>
      <c r="E4" s="56" t="s">
        <v>59</v>
      </c>
      <c r="F4" s="56">
        <v>1</v>
      </c>
      <c r="G4" s="56">
        <v>10</v>
      </c>
      <c r="H4" s="56">
        <v>50</v>
      </c>
      <c r="I4" s="56">
        <v>100</v>
      </c>
    </row>
    <row r="5" spans="1:9" x14ac:dyDescent="0.35">
      <c r="C5">
        <v>2.2999999999999998</v>
      </c>
      <c r="D5" t="s">
        <v>51</v>
      </c>
      <c r="F5" s="40">
        <f>D71</f>
        <v>24905</v>
      </c>
      <c r="G5" s="494">
        <f t="shared" ref="G5:I5" si="0">E71</f>
        <v>249050</v>
      </c>
      <c r="H5" s="494">
        <f t="shared" si="0"/>
        <v>525400</v>
      </c>
      <c r="I5" s="494">
        <f t="shared" si="0"/>
        <v>1050800</v>
      </c>
    </row>
    <row r="6" spans="1:9" s="516" customFormat="1" x14ac:dyDescent="0.35">
      <c r="F6" s="494"/>
      <c r="G6" s="494"/>
      <c r="H6" s="494"/>
      <c r="I6" s="494"/>
    </row>
    <row r="8" spans="1:9" s="516" customFormat="1" x14ac:dyDescent="0.35">
      <c r="A8" s="457"/>
      <c r="B8" s="457"/>
    </row>
    <row r="9" spans="1:9" s="516" customFormat="1" x14ac:dyDescent="0.35">
      <c r="A9" s="457" t="s">
        <v>391</v>
      </c>
      <c r="B9" s="457"/>
    </row>
    <row r="10" spans="1:9" s="516" customFormat="1" x14ac:dyDescent="0.35">
      <c r="D10" s="433"/>
    </row>
    <row r="11" spans="1:9" s="516" customFormat="1" x14ac:dyDescent="0.35">
      <c r="C11" s="516" t="s">
        <v>387</v>
      </c>
      <c r="D11" s="82">
        <v>8000</v>
      </c>
    </row>
    <row r="12" spans="1:9" s="516" customFormat="1" x14ac:dyDescent="0.35">
      <c r="C12" s="516" t="s">
        <v>388</v>
      </c>
      <c r="D12" s="82">
        <v>3000</v>
      </c>
    </row>
    <row r="13" spans="1:9" s="516" customFormat="1" x14ac:dyDescent="0.35">
      <c r="C13" s="516" t="s">
        <v>389</v>
      </c>
      <c r="D13" s="82">
        <v>3000</v>
      </c>
    </row>
    <row r="14" spans="1:9" s="516" customFormat="1" x14ac:dyDescent="0.35">
      <c r="C14" s="516" t="s">
        <v>364</v>
      </c>
      <c r="D14" s="82">
        <v>800</v>
      </c>
    </row>
    <row r="15" spans="1:9" s="516" customFormat="1" x14ac:dyDescent="0.35">
      <c r="C15" s="516" t="s">
        <v>390</v>
      </c>
      <c r="D15" s="82">
        <v>1500</v>
      </c>
    </row>
    <row r="16" spans="1:9" s="516" customFormat="1" x14ac:dyDescent="0.35">
      <c r="D16" s="82"/>
    </row>
    <row r="17" spans="1:4" s="516" customFormat="1" x14ac:dyDescent="0.35">
      <c r="C17" s="305" t="s">
        <v>70</v>
      </c>
      <c r="D17" s="635">
        <f>SUM(D11:D15)</f>
        <v>16300</v>
      </c>
    </row>
    <row r="18" spans="1:4" s="516" customFormat="1" x14ac:dyDescent="0.35">
      <c r="D18" s="433"/>
    </row>
    <row r="19" spans="1:4" s="516" customFormat="1" ht="17.25" customHeight="1" x14ac:dyDescent="0.35">
      <c r="A19" s="457" t="s">
        <v>392</v>
      </c>
      <c r="B19" s="457"/>
      <c r="D19" s="433"/>
    </row>
    <row r="20" spans="1:4" s="516" customFormat="1" x14ac:dyDescent="0.35">
      <c r="D20" s="433"/>
    </row>
    <row r="21" spans="1:4" s="516" customFormat="1" x14ac:dyDescent="0.35">
      <c r="C21" s="516" t="s">
        <v>387</v>
      </c>
      <c r="D21" s="82">
        <v>8000</v>
      </c>
    </row>
    <row r="22" spans="1:4" s="516" customFormat="1" x14ac:dyDescent="0.35">
      <c r="C22" s="516" t="s">
        <v>388</v>
      </c>
      <c r="D22" s="82">
        <v>3000</v>
      </c>
    </row>
    <row r="23" spans="1:4" s="516" customFormat="1" x14ac:dyDescent="0.35">
      <c r="C23" s="516" t="s">
        <v>364</v>
      </c>
      <c r="D23" s="82">
        <v>800</v>
      </c>
    </row>
    <row r="24" spans="1:4" s="516" customFormat="1" x14ac:dyDescent="0.35">
      <c r="C24" s="516" t="s">
        <v>390</v>
      </c>
      <c r="D24" s="82">
        <v>1000</v>
      </c>
    </row>
    <row r="25" spans="1:4" s="516" customFormat="1" x14ac:dyDescent="0.35">
      <c r="D25" s="82"/>
    </row>
    <row r="26" spans="1:4" s="516" customFormat="1" x14ac:dyDescent="0.35">
      <c r="C26" s="305" t="s">
        <v>70</v>
      </c>
      <c r="D26" s="635">
        <f>SUM(D21:D24)</f>
        <v>12800</v>
      </c>
    </row>
    <row r="27" spans="1:4" s="516" customFormat="1" x14ac:dyDescent="0.35">
      <c r="A27" s="457"/>
      <c r="B27" s="457"/>
    </row>
    <row r="28" spans="1:4" s="516" customFormat="1" x14ac:dyDescent="0.35">
      <c r="A28" s="457" t="s">
        <v>393</v>
      </c>
      <c r="B28" s="457"/>
    </row>
    <row r="29" spans="1:4" s="516" customFormat="1" x14ac:dyDescent="0.35">
      <c r="A29" s="457"/>
      <c r="B29" s="457"/>
      <c r="C29" s="516" t="s">
        <v>394</v>
      </c>
      <c r="D29" s="516">
        <v>10</v>
      </c>
    </row>
    <row r="30" spans="1:4" s="516" customFormat="1" x14ac:dyDescent="0.35">
      <c r="A30" s="457"/>
      <c r="B30" s="457"/>
      <c r="C30" s="516" t="s">
        <v>395</v>
      </c>
      <c r="D30" s="563">
        <v>30</v>
      </c>
    </row>
    <row r="31" spans="1:4" s="516" customFormat="1" x14ac:dyDescent="0.35">
      <c r="A31" s="457"/>
      <c r="B31" s="457"/>
      <c r="C31" s="516" t="s">
        <v>396</v>
      </c>
      <c r="D31" s="516">
        <v>12</v>
      </c>
    </row>
    <row r="32" spans="1:4" s="516" customFormat="1" x14ac:dyDescent="0.35">
      <c r="A32" s="457"/>
      <c r="B32" s="457"/>
      <c r="C32" s="516" t="s">
        <v>413</v>
      </c>
      <c r="D32" s="396">
        <v>0.3</v>
      </c>
    </row>
    <row r="33" spans="1:5" s="516" customFormat="1" x14ac:dyDescent="0.35">
      <c r="A33" s="457"/>
      <c r="B33" s="457"/>
      <c r="C33" s="516" t="s">
        <v>397</v>
      </c>
      <c r="D33" s="426">
        <f>D29*D30*D31*(1+D32)</f>
        <v>4680</v>
      </c>
    </row>
    <row r="34" spans="1:5" s="516" customFormat="1" x14ac:dyDescent="0.35">
      <c r="A34" s="457"/>
      <c r="B34" s="457"/>
      <c r="C34" s="516" t="s">
        <v>390</v>
      </c>
      <c r="D34" s="426">
        <v>1000</v>
      </c>
    </row>
    <row r="35" spans="1:5" s="516" customFormat="1" x14ac:dyDescent="0.35">
      <c r="A35" s="457"/>
      <c r="B35" s="457"/>
    </row>
    <row r="36" spans="1:5" s="516" customFormat="1" x14ac:dyDescent="0.35">
      <c r="A36" s="457"/>
      <c r="B36" s="457"/>
      <c r="C36" s="305" t="s">
        <v>70</v>
      </c>
      <c r="D36" s="203">
        <f>D34+D33</f>
        <v>5680</v>
      </c>
    </row>
    <row r="37" spans="1:5" s="516" customFormat="1" x14ac:dyDescent="0.35">
      <c r="A37" s="457"/>
      <c r="B37" s="457"/>
      <c r="C37" s="517"/>
      <c r="D37" s="636"/>
    </row>
    <row r="38" spans="1:5" s="516" customFormat="1" x14ac:dyDescent="0.35">
      <c r="A38" s="457" t="s">
        <v>411</v>
      </c>
      <c r="B38" s="457"/>
      <c r="C38" s="517"/>
      <c r="D38" s="637" t="s">
        <v>412</v>
      </c>
      <c r="E38" s="97"/>
    </row>
    <row r="39" spans="1:5" s="516" customFormat="1" x14ac:dyDescent="0.35">
      <c r="A39" s="457"/>
      <c r="B39" s="431" t="s">
        <v>37</v>
      </c>
      <c r="C39" s="517"/>
      <c r="D39" s="636"/>
    </row>
    <row r="40" spans="1:5" s="516" customFormat="1" x14ac:dyDescent="0.35">
      <c r="A40" s="457"/>
      <c r="B40" s="457"/>
      <c r="C40" s="519" t="s">
        <v>466</v>
      </c>
      <c r="D40" s="638">
        <v>0.2</v>
      </c>
    </row>
    <row r="41" spans="1:5" s="516" customFormat="1" x14ac:dyDescent="0.35">
      <c r="A41" s="457"/>
      <c r="B41" s="457"/>
      <c r="C41" s="519" t="s">
        <v>33</v>
      </c>
      <c r="D41" s="638">
        <v>0.1</v>
      </c>
    </row>
    <row r="42" spans="1:5" s="516" customFormat="1" x14ac:dyDescent="0.35">
      <c r="A42" s="457"/>
      <c r="B42" s="457"/>
      <c r="C42" s="519" t="s">
        <v>38</v>
      </c>
      <c r="D42" s="638">
        <v>0.13</v>
      </c>
    </row>
    <row r="43" spans="1:5" s="516" customFormat="1" x14ac:dyDescent="0.35">
      <c r="A43" s="457"/>
      <c r="B43" s="457"/>
      <c r="C43" s="519" t="s">
        <v>40</v>
      </c>
      <c r="D43" s="638">
        <v>7.0000000000000007E-2</v>
      </c>
    </row>
    <row r="44" spans="1:5" s="516" customFormat="1" x14ac:dyDescent="0.35">
      <c r="A44" s="457"/>
      <c r="B44" s="457"/>
      <c r="C44" s="517"/>
      <c r="D44" s="636"/>
    </row>
    <row r="45" spans="1:5" s="516" customFormat="1" x14ac:dyDescent="0.35">
      <c r="A45" s="457"/>
      <c r="B45" s="213" t="s">
        <v>70</v>
      </c>
      <c r="C45" s="213"/>
      <c r="D45" s="639">
        <f>SUM(D40:D43)</f>
        <v>0.5</v>
      </c>
    </row>
    <row r="46" spans="1:5" s="516" customFormat="1" x14ac:dyDescent="0.35">
      <c r="A46" s="457"/>
      <c r="B46" s="457"/>
      <c r="C46" s="517"/>
      <c r="D46" s="636"/>
    </row>
    <row r="47" spans="1:5" s="516" customFormat="1" x14ac:dyDescent="0.35">
      <c r="A47" s="457" t="s">
        <v>407</v>
      </c>
    </row>
    <row r="48" spans="1:5" s="516" customFormat="1" x14ac:dyDescent="0.35">
      <c r="B48" s="516" t="s">
        <v>399</v>
      </c>
      <c r="D48" s="516">
        <v>0.1</v>
      </c>
    </row>
    <row r="49" spans="1:7" s="516" customFormat="1" x14ac:dyDescent="0.35">
      <c r="B49" s="516" t="s">
        <v>400</v>
      </c>
      <c r="D49" s="516">
        <v>0.25</v>
      </c>
    </row>
    <row r="50" spans="1:7" s="516" customFormat="1" x14ac:dyDescent="0.35"/>
    <row r="51" spans="1:7" s="516" customFormat="1" x14ac:dyDescent="0.35">
      <c r="B51" s="516" t="s">
        <v>70</v>
      </c>
      <c r="D51" s="516">
        <f>D48+D49</f>
        <v>0.35</v>
      </c>
    </row>
    <row r="52" spans="1:7" s="516" customFormat="1" x14ac:dyDescent="0.35"/>
    <row r="53" spans="1:7" s="516" customFormat="1" x14ac:dyDescent="0.35">
      <c r="D53" s="516" t="s">
        <v>86</v>
      </c>
      <c r="E53" s="516" t="s">
        <v>75</v>
      </c>
      <c r="F53" s="516" t="s">
        <v>76</v>
      </c>
      <c r="G53" s="516" t="s">
        <v>77</v>
      </c>
    </row>
    <row r="54" spans="1:7" s="516" customFormat="1" x14ac:dyDescent="0.35">
      <c r="B54" s="516" t="s">
        <v>401</v>
      </c>
      <c r="D54" s="516">
        <f>D51*1</f>
        <v>0.35</v>
      </c>
      <c r="E54" s="516">
        <f>D54*10</f>
        <v>3.5</v>
      </c>
      <c r="F54" s="516">
        <f>D54*50</f>
        <v>17.5</v>
      </c>
      <c r="G54" s="516">
        <f>D54*100</f>
        <v>35</v>
      </c>
    </row>
    <row r="55" spans="1:7" s="516" customFormat="1" x14ac:dyDescent="0.35">
      <c r="B55" s="516" t="s">
        <v>386</v>
      </c>
      <c r="D55" s="494">
        <f>D17</f>
        <v>16300</v>
      </c>
      <c r="E55" s="494">
        <f>D17</f>
        <v>16300</v>
      </c>
      <c r="F55" s="494">
        <f>D36</f>
        <v>5680</v>
      </c>
      <c r="G55" s="494">
        <f t="shared" ref="G55" si="1">F55</f>
        <v>5680</v>
      </c>
    </row>
    <row r="56" spans="1:7" s="516" customFormat="1" x14ac:dyDescent="0.35">
      <c r="B56" s="516" t="s">
        <v>402</v>
      </c>
      <c r="D56" s="494">
        <f>D55*D54</f>
        <v>5705</v>
      </c>
      <c r="E56" s="494">
        <f t="shared" ref="E56:G56" si="2">E55*E54</f>
        <v>57050</v>
      </c>
      <c r="F56" s="494">
        <f t="shared" si="2"/>
        <v>99400</v>
      </c>
      <c r="G56" s="494">
        <f t="shared" si="2"/>
        <v>198800</v>
      </c>
    </row>
    <row r="57" spans="1:7" s="516" customFormat="1" x14ac:dyDescent="0.35"/>
    <row r="58" spans="1:7" s="516" customFormat="1" x14ac:dyDescent="0.35">
      <c r="A58" s="457" t="s">
        <v>408</v>
      </c>
    </row>
    <row r="59" spans="1:7" s="516" customFormat="1" x14ac:dyDescent="0.35">
      <c r="B59" s="516" t="s">
        <v>404</v>
      </c>
      <c r="D59" s="516">
        <v>1</v>
      </c>
    </row>
    <row r="60" spans="1:7" s="516" customFormat="1" x14ac:dyDescent="0.35">
      <c r="B60" s="516" t="s">
        <v>398</v>
      </c>
      <c r="D60" s="516">
        <v>0.5</v>
      </c>
    </row>
    <row r="61" spans="1:7" s="516" customFormat="1" x14ac:dyDescent="0.35">
      <c r="B61" s="516" t="s">
        <v>405</v>
      </c>
      <c r="D61" s="516">
        <v>2</v>
      </c>
    </row>
    <row r="62" spans="1:7" s="516" customFormat="1" x14ac:dyDescent="0.35">
      <c r="B62" s="516" t="s">
        <v>409</v>
      </c>
      <c r="D62" s="640">
        <f>D45</f>
        <v>0.5</v>
      </c>
    </row>
    <row r="63" spans="1:7" s="516" customFormat="1" x14ac:dyDescent="0.35"/>
    <row r="64" spans="1:7" s="516" customFormat="1" x14ac:dyDescent="0.35">
      <c r="B64" s="516" t="s">
        <v>70</v>
      </c>
      <c r="D64" s="276">
        <f>D59/D61+D60+D62</f>
        <v>1.5</v>
      </c>
    </row>
    <row r="65" spans="1:7" s="516" customFormat="1" x14ac:dyDescent="0.35"/>
    <row r="66" spans="1:7" s="516" customFormat="1" x14ac:dyDescent="0.35">
      <c r="D66" s="516" t="s">
        <v>86</v>
      </c>
      <c r="E66" s="516" t="s">
        <v>75</v>
      </c>
      <c r="F66" s="516" t="s">
        <v>76</v>
      </c>
      <c r="G66" s="516" t="s">
        <v>77</v>
      </c>
    </row>
    <row r="67" spans="1:7" s="516" customFormat="1" x14ac:dyDescent="0.35">
      <c r="B67" s="516" t="s">
        <v>406</v>
      </c>
      <c r="D67" s="276">
        <f>D64</f>
        <v>1.5</v>
      </c>
      <c r="E67" s="516">
        <f>D67*10</f>
        <v>15</v>
      </c>
      <c r="F67" s="516">
        <f>E67*5</f>
        <v>75</v>
      </c>
      <c r="G67" s="516">
        <f>F67*2</f>
        <v>150</v>
      </c>
    </row>
    <row r="68" spans="1:7" s="516" customFormat="1" x14ac:dyDescent="0.35">
      <c r="B68" s="516" t="s">
        <v>386</v>
      </c>
      <c r="D68" s="494">
        <f>D26</f>
        <v>12800</v>
      </c>
      <c r="E68" s="494">
        <f>D68</f>
        <v>12800</v>
      </c>
      <c r="F68" s="494">
        <f>D36</f>
        <v>5680</v>
      </c>
      <c r="G68" s="494">
        <f t="shared" ref="G68" si="3">F68</f>
        <v>5680</v>
      </c>
    </row>
    <row r="69" spans="1:7" s="516" customFormat="1" x14ac:dyDescent="0.35">
      <c r="B69" s="516" t="s">
        <v>402</v>
      </c>
      <c r="D69" s="494">
        <f>D68*D67</f>
        <v>19200</v>
      </c>
      <c r="E69" s="494">
        <f t="shared" ref="E69:G69" si="4">E68*E67</f>
        <v>192000</v>
      </c>
      <c r="F69" s="494">
        <f t="shared" si="4"/>
        <v>426000</v>
      </c>
      <c r="G69" s="494">
        <f t="shared" si="4"/>
        <v>852000</v>
      </c>
    </row>
    <row r="70" spans="1:7" s="516" customFormat="1" x14ac:dyDescent="0.35">
      <c r="D70" s="494"/>
      <c r="E70" s="494"/>
      <c r="F70" s="494"/>
      <c r="G70" s="494"/>
    </row>
    <row r="71" spans="1:7" s="516" customFormat="1" x14ac:dyDescent="0.35">
      <c r="B71" s="305" t="s">
        <v>410</v>
      </c>
      <c r="C71" s="305"/>
      <c r="D71" s="308">
        <f>D69+D56</f>
        <v>24905</v>
      </c>
      <c r="E71" s="308">
        <f t="shared" ref="E71:G71" si="5">E69+E56</f>
        <v>249050</v>
      </c>
      <c r="F71" s="308">
        <f t="shared" si="5"/>
        <v>525400</v>
      </c>
      <c r="G71" s="308">
        <f t="shared" si="5"/>
        <v>1050800</v>
      </c>
    </row>
    <row r="72" spans="1:7" s="516" customFormat="1" x14ac:dyDescent="0.35">
      <c r="D72" s="494"/>
      <c r="E72" s="494"/>
      <c r="F72" s="494"/>
      <c r="G72" s="494"/>
    </row>
    <row r="73" spans="1:7" s="516" customFormat="1" x14ac:dyDescent="0.35">
      <c r="D73" s="494"/>
      <c r="E73" s="494"/>
      <c r="F73" s="494"/>
      <c r="G73" s="494"/>
    </row>
    <row r="74" spans="1:7" s="516" customFormat="1" x14ac:dyDescent="0.35">
      <c r="A74" s="457" t="s">
        <v>131</v>
      </c>
      <c r="D74" s="494"/>
      <c r="E74" s="494"/>
      <c r="F74" s="494"/>
      <c r="G74" s="494"/>
    </row>
    <row r="75" spans="1:7" s="516" customFormat="1" x14ac:dyDescent="0.35">
      <c r="A75" s="516">
        <v>2.2999999999999998</v>
      </c>
      <c r="B75" s="516" t="s">
        <v>455</v>
      </c>
      <c r="D75" s="494"/>
      <c r="E75" s="494"/>
      <c r="F75" s="494"/>
      <c r="G75" s="494"/>
    </row>
    <row r="77" spans="1:7" s="516" customFormat="1" x14ac:dyDescent="0.35"/>
    <row r="78" spans="1:7" x14ac:dyDescent="0.35">
      <c r="A78" s="409" t="s">
        <v>215</v>
      </c>
      <c r="B78" s="457"/>
    </row>
    <row r="79" spans="1:7" x14ac:dyDescent="0.35">
      <c r="A79">
        <v>2.2999999999999998</v>
      </c>
      <c r="B79" s="516" t="s">
        <v>296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31"/>
  <sheetViews>
    <sheetView zoomScale="70" zoomScaleNormal="70" workbookViewId="0">
      <selection activeCell="B29" sqref="B29"/>
    </sheetView>
  </sheetViews>
  <sheetFormatPr defaultRowHeight="14.5" x14ac:dyDescent="0.35"/>
  <cols>
    <col min="1" max="1" width="5.453125" customWidth="1"/>
    <col min="2" max="2" width="21.453125" customWidth="1"/>
    <col min="3" max="3" width="16.453125" customWidth="1"/>
    <col min="4" max="5" width="14" bestFit="1" customWidth="1"/>
    <col min="6" max="6" width="13.54296875" bestFit="1" customWidth="1"/>
    <col min="7" max="7" width="11.453125" bestFit="1" customWidth="1"/>
    <col min="8" max="8" width="11.08984375" bestFit="1" customWidth="1"/>
    <col min="10" max="10" width="9.08984375" style="69"/>
    <col min="15" max="16" width="11.453125" customWidth="1"/>
    <col min="17" max="17" width="11" customWidth="1"/>
    <col min="18" max="18" width="12.453125" customWidth="1"/>
  </cols>
  <sheetData>
    <row r="1" spans="1:19" x14ac:dyDescent="0.35">
      <c r="A1" s="457" t="s">
        <v>360</v>
      </c>
    </row>
    <row r="2" spans="1:19" s="56" customFormat="1" x14ac:dyDescent="0.35">
      <c r="J2" s="69"/>
    </row>
    <row r="3" spans="1:19" s="56" customFormat="1" x14ac:dyDescent="0.35">
      <c r="A3" s="57" t="s">
        <v>98</v>
      </c>
      <c r="D3" s="56" t="s">
        <v>59</v>
      </c>
      <c r="E3" s="56">
        <v>1</v>
      </c>
      <c r="F3" s="56">
        <v>10</v>
      </c>
      <c r="G3" s="56">
        <v>50</v>
      </c>
      <c r="H3" s="56">
        <v>100</v>
      </c>
      <c r="J3" s="69"/>
    </row>
    <row r="4" spans="1:19" s="56" customFormat="1" x14ac:dyDescent="0.35">
      <c r="B4" s="56">
        <v>2.4</v>
      </c>
      <c r="C4" s="56" t="s">
        <v>52</v>
      </c>
      <c r="E4" s="494">
        <f>R15+C20</f>
        <v>141561</v>
      </c>
      <c r="F4" s="494">
        <f>Q15+C21</f>
        <v>399936</v>
      </c>
      <c r="G4" s="494">
        <f>P15+C21</f>
        <v>454692</v>
      </c>
      <c r="H4" s="494">
        <f>O15+C21</f>
        <v>674634</v>
      </c>
      <c r="J4" s="69"/>
    </row>
    <row r="5" spans="1:19" s="56" customFormat="1" x14ac:dyDescent="0.35">
      <c r="J5" s="69"/>
    </row>
    <row r="6" spans="1:19" s="56" customFormat="1" x14ac:dyDescent="0.35">
      <c r="J6" s="69"/>
    </row>
    <row r="7" spans="1:19" s="56" customFormat="1" x14ac:dyDescent="0.35">
      <c r="A7" s="457" t="s">
        <v>424</v>
      </c>
      <c r="J7" s="69"/>
    </row>
    <row r="8" spans="1:19" ht="15.5" x14ac:dyDescent="0.35">
      <c r="B8" s="593"/>
      <c r="C8" s="594" t="s">
        <v>365</v>
      </c>
      <c r="D8" s="594" t="s">
        <v>366</v>
      </c>
      <c r="E8" s="595"/>
      <c r="F8" s="596"/>
      <c r="G8" s="597" t="s">
        <v>367</v>
      </c>
      <c r="H8" s="598"/>
      <c r="I8" s="599"/>
      <c r="J8" s="598"/>
      <c r="K8" s="600" t="s">
        <v>368</v>
      </c>
      <c r="L8" s="598"/>
      <c r="M8" s="599"/>
      <c r="N8" s="516" t="s">
        <v>369</v>
      </c>
      <c r="O8" s="516" t="s">
        <v>77</v>
      </c>
      <c r="P8" s="516" t="s">
        <v>76</v>
      </c>
      <c r="Q8" s="516" t="s">
        <v>75</v>
      </c>
      <c r="R8" s="516" t="s">
        <v>86</v>
      </c>
    </row>
    <row r="9" spans="1:19" ht="15" thickBot="1" x14ac:dyDescent="0.4">
      <c r="A9" s="490"/>
      <c r="B9" s="601"/>
      <c r="C9" s="602" t="s">
        <v>370</v>
      </c>
      <c r="D9" s="602" t="s">
        <v>371</v>
      </c>
      <c r="E9" s="603" t="s">
        <v>70</v>
      </c>
      <c r="F9" s="604" t="s">
        <v>372</v>
      </c>
      <c r="G9" s="605" t="s">
        <v>373</v>
      </c>
      <c r="H9" s="605" t="s">
        <v>374</v>
      </c>
      <c r="I9" s="606" t="s">
        <v>375</v>
      </c>
      <c r="J9" s="607" t="s">
        <v>372</v>
      </c>
      <c r="K9" s="605" t="s">
        <v>373</v>
      </c>
      <c r="L9" s="605" t="s">
        <v>374</v>
      </c>
      <c r="M9" s="606" t="s">
        <v>375</v>
      </c>
      <c r="N9" s="516"/>
      <c r="O9" s="516"/>
      <c r="P9" s="516"/>
      <c r="Q9" s="516"/>
      <c r="R9" s="516"/>
      <c r="S9" s="490"/>
    </row>
    <row r="10" spans="1:19" ht="15" thickTop="1" x14ac:dyDescent="0.35">
      <c r="A10" s="490"/>
      <c r="B10" s="608" t="s">
        <v>376</v>
      </c>
      <c r="C10" s="609">
        <v>85000</v>
      </c>
      <c r="D10" s="610">
        <v>35</v>
      </c>
      <c r="E10" s="611">
        <v>114750.00000000001</v>
      </c>
      <c r="F10" s="612">
        <v>1</v>
      </c>
      <c r="G10" s="610">
        <v>1</v>
      </c>
      <c r="H10" s="610">
        <v>1</v>
      </c>
      <c r="I10" s="610">
        <v>1</v>
      </c>
      <c r="J10" s="613">
        <v>114750.00000000001</v>
      </c>
      <c r="K10" s="614">
        <v>114750.00000000001</v>
      </c>
      <c r="L10" s="614">
        <v>114750.00000000001</v>
      </c>
      <c r="M10" s="615">
        <v>114750.00000000001</v>
      </c>
      <c r="N10" s="466">
        <f>AVERAGE(J10:M10)</f>
        <v>114750.00000000001</v>
      </c>
      <c r="O10" s="466">
        <f>N10</f>
        <v>114750.00000000001</v>
      </c>
      <c r="P10" s="466">
        <f>O10</f>
        <v>114750.00000000001</v>
      </c>
      <c r="Q10" s="466">
        <f>P10</f>
        <v>114750.00000000001</v>
      </c>
      <c r="R10" s="466">
        <v>0</v>
      </c>
      <c r="S10" s="490"/>
    </row>
    <row r="11" spans="1:19" x14ac:dyDescent="0.35">
      <c r="A11" s="490"/>
      <c r="B11" s="608" t="s">
        <v>377</v>
      </c>
      <c r="C11" s="616">
        <v>35000</v>
      </c>
      <c r="D11" s="617">
        <v>35</v>
      </c>
      <c r="E11" s="611">
        <v>47250</v>
      </c>
      <c r="F11" s="618">
        <v>2</v>
      </c>
      <c r="G11" s="617">
        <v>2</v>
      </c>
      <c r="H11" s="617">
        <v>2</v>
      </c>
      <c r="I11" s="617">
        <v>2</v>
      </c>
      <c r="J11" s="619">
        <v>94500</v>
      </c>
      <c r="K11" s="614">
        <v>94500</v>
      </c>
      <c r="L11" s="614">
        <v>94500</v>
      </c>
      <c r="M11" s="615">
        <v>94500</v>
      </c>
      <c r="N11" s="466">
        <f t="shared" ref="N11:N13" si="0">AVERAGE(J11:M11)</f>
        <v>94500</v>
      </c>
      <c r="O11" s="466">
        <f t="shared" ref="O11:O13" si="1">N11</f>
        <v>94500</v>
      </c>
      <c r="P11" s="516">
        <f>O11/2</f>
        <v>47250</v>
      </c>
      <c r="Q11" s="516">
        <f>P11</f>
        <v>47250</v>
      </c>
      <c r="R11" s="516">
        <f>Q11/2</f>
        <v>23625</v>
      </c>
      <c r="S11" s="490"/>
    </row>
    <row r="12" spans="1:19" x14ac:dyDescent="0.35">
      <c r="A12" s="490"/>
      <c r="B12" s="608" t="s">
        <v>378</v>
      </c>
      <c r="C12" s="620">
        <v>18</v>
      </c>
      <c r="D12" s="617">
        <v>35</v>
      </c>
      <c r="E12" s="621">
        <v>24.3</v>
      </c>
      <c r="F12" s="617">
        <v>1</v>
      </c>
      <c r="G12" s="617">
        <v>2</v>
      </c>
      <c r="H12" s="617">
        <v>3</v>
      </c>
      <c r="I12" s="617">
        <v>4</v>
      </c>
      <c r="J12" s="613">
        <v>50544</v>
      </c>
      <c r="K12" s="614">
        <v>101088</v>
      </c>
      <c r="L12" s="614">
        <v>151632</v>
      </c>
      <c r="M12" s="615">
        <v>202176</v>
      </c>
      <c r="N12" s="466">
        <f t="shared" si="0"/>
        <v>126360</v>
      </c>
      <c r="O12" s="466">
        <f t="shared" si="1"/>
        <v>126360</v>
      </c>
      <c r="P12" s="516">
        <f>O12/2</f>
        <v>63180</v>
      </c>
      <c r="Q12" s="466">
        <f>J12</f>
        <v>50544</v>
      </c>
      <c r="R12" s="466">
        <f>Q12</f>
        <v>50544</v>
      </c>
      <c r="S12" s="490"/>
    </row>
    <row r="13" spans="1:19" x14ac:dyDescent="0.35">
      <c r="A13" s="490"/>
      <c r="B13" s="608" t="s">
        <v>379</v>
      </c>
      <c r="C13" s="620">
        <v>12</v>
      </c>
      <c r="D13" s="617">
        <v>35</v>
      </c>
      <c r="E13" s="621">
        <v>16.200000000000003</v>
      </c>
      <c r="F13" s="617">
        <v>4</v>
      </c>
      <c r="G13" s="617">
        <v>6</v>
      </c>
      <c r="H13" s="617">
        <v>7</v>
      </c>
      <c r="I13" s="617">
        <v>9</v>
      </c>
      <c r="J13" s="622">
        <v>134784.00000000003</v>
      </c>
      <c r="K13" s="623">
        <v>202176.00000000003</v>
      </c>
      <c r="L13" s="623">
        <v>235872.00000000003</v>
      </c>
      <c r="M13" s="624">
        <v>303264</v>
      </c>
      <c r="N13" s="466">
        <f t="shared" si="0"/>
        <v>219024.00000000003</v>
      </c>
      <c r="O13" s="466">
        <f t="shared" si="1"/>
        <v>219024.00000000003</v>
      </c>
      <c r="P13" s="516">
        <f>O13/2</f>
        <v>109512.00000000001</v>
      </c>
      <c r="Q13" s="516">
        <f>J13/2</f>
        <v>67392.000000000015</v>
      </c>
      <c r="R13" s="516">
        <f>Q13</f>
        <v>67392.000000000015</v>
      </c>
      <c r="S13" s="490"/>
    </row>
    <row r="14" spans="1:19" x14ac:dyDescent="0.35">
      <c r="A14" s="490"/>
      <c r="B14" s="625" t="s">
        <v>87</v>
      </c>
      <c r="C14" s="626"/>
      <c r="D14" s="627"/>
      <c r="E14" s="628"/>
      <c r="F14" s="629"/>
      <c r="G14" s="630"/>
      <c r="H14" s="630"/>
      <c r="I14" s="631"/>
      <c r="J14" s="632">
        <v>394578</v>
      </c>
      <c r="K14" s="633">
        <v>512514</v>
      </c>
      <c r="L14" s="633">
        <v>596754</v>
      </c>
      <c r="M14" s="633">
        <v>714690</v>
      </c>
      <c r="N14" s="516"/>
      <c r="O14" s="516"/>
      <c r="P14" s="516"/>
      <c r="Q14" s="516"/>
      <c r="R14" s="516"/>
      <c r="S14" s="490"/>
    </row>
    <row r="15" spans="1:19" x14ac:dyDescent="0.35">
      <c r="A15" s="490"/>
      <c r="B15" s="516"/>
      <c r="C15" s="516"/>
      <c r="D15" s="516"/>
      <c r="E15" s="516"/>
      <c r="F15" s="516"/>
      <c r="G15" s="516"/>
      <c r="H15" s="516"/>
      <c r="I15" s="516"/>
      <c r="J15" s="516"/>
      <c r="K15" s="516"/>
      <c r="L15" s="516"/>
      <c r="M15" s="466">
        <f>AVERAGE(J14:M14)</f>
        <v>554634</v>
      </c>
      <c r="N15" s="516"/>
      <c r="O15" s="634">
        <f>SUM(O10:O13)</f>
        <v>554634</v>
      </c>
      <c r="P15" s="634">
        <f t="shared" ref="P15:R15" si="2">SUM(P10:P13)</f>
        <v>334692</v>
      </c>
      <c r="Q15" s="634">
        <f t="shared" si="2"/>
        <v>279936</v>
      </c>
      <c r="R15" s="634">
        <f t="shared" si="2"/>
        <v>141561</v>
      </c>
      <c r="S15" s="490"/>
    </row>
    <row r="16" spans="1:19" x14ac:dyDescent="0.35">
      <c r="A16" s="490"/>
      <c r="B16" s="487"/>
      <c r="C16" s="484"/>
      <c r="D16" s="486"/>
      <c r="E16" s="483"/>
      <c r="F16" s="486"/>
      <c r="G16" s="486"/>
      <c r="H16" s="486"/>
      <c r="I16" s="486"/>
      <c r="J16" s="485"/>
      <c r="K16" s="485"/>
      <c r="L16" s="485"/>
      <c r="M16" s="485"/>
      <c r="N16" s="83"/>
      <c r="O16" s="83"/>
      <c r="P16" s="490"/>
      <c r="Q16" s="490"/>
      <c r="R16" s="490"/>
      <c r="S16" s="490"/>
    </row>
    <row r="17" spans="1:19" x14ac:dyDescent="0.35">
      <c r="A17" s="491" t="s">
        <v>380</v>
      </c>
      <c r="B17" s="482"/>
      <c r="C17" s="440"/>
      <c r="D17" s="488"/>
      <c r="E17" s="483"/>
      <c r="F17" s="443"/>
      <c r="G17" s="443"/>
      <c r="H17" s="443"/>
      <c r="I17" s="443"/>
      <c r="J17" s="446"/>
      <c r="K17" s="447"/>
      <c r="L17" s="447"/>
      <c r="M17" s="447"/>
      <c r="N17" s="490"/>
      <c r="O17" s="490"/>
      <c r="P17" s="490"/>
      <c r="Q17" s="490"/>
      <c r="R17" s="490"/>
      <c r="S17" s="490"/>
    </row>
    <row r="18" spans="1:19" x14ac:dyDescent="0.35">
      <c r="A18" s="490"/>
      <c r="B18" s="490" t="s">
        <v>381</v>
      </c>
      <c r="C18" s="490">
        <f>5000*12</f>
        <v>60000</v>
      </c>
      <c r="D18" s="490"/>
      <c r="E18" s="490"/>
      <c r="F18" s="490"/>
      <c r="G18" s="490"/>
      <c r="H18" s="490"/>
      <c r="I18" s="490"/>
      <c r="J18" s="490"/>
      <c r="K18" s="490"/>
      <c r="L18" s="490"/>
      <c r="M18" s="83"/>
      <c r="N18" s="490"/>
      <c r="O18" s="444"/>
      <c r="P18" s="444"/>
      <c r="Q18" s="444"/>
      <c r="R18" s="444"/>
      <c r="S18" s="490"/>
    </row>
    <row r="19" spans="1:19" x14ac:dyDescent="0.35">
      <c r="A19" s="490"/>
      <c r="B19" s="490" t="s">
        <v>382</v>
      </c>
      <c r="C19" s="490">
        <f>5000*12</f>
        <v>60000</v>
      </c>
      <c r="D19" s="490"/>
      <c r="E19" s="490"/>
      <c r="F19" s="490"/>
      <c r="G19" s="490"/>
      <c r="H19" s="490"/>
      <c r="I19" s="490"/>
      <c r="J19" s="490"/>
      <c r="K19" s="490"/>
      <c r="L19" s="490"/>
      <c r="M19" s="490"/>
      <c r="N19" s="490"/>
      <c r="O19" s="490"/>
      <c r="P19" s="490"/>
      <c r="Q19" s="490"/>
      <c r="R19" s="490"/>
      <c r="S19" s="490"/>
    </row>
    <row r="20" spans="1:19" s="69" customFormat="1" x14ac:dyDescent="0.35">
      <c r="A20" s="490"/>
      <c r="B20" s="491"/>
      <c r="C20" s="490"/>
      <c r="D20" s="490"/>
      <c r="E20" s="490"/>
      <c r="F20" s="490"/>
      <c r="G20" s="490"/>
      <c r="H20" s="490"/>
      <c r="I20" s="490"/>
      <c r="J20" s="490"/>
      <c r="K20" s="490"/>
      <c r="L20" s="490"/>
      <c r="M20" s="490"/>
      <c r="N20" s="490"/>
      <c r="O20" s="490"/>
      <c r="P20" s="490"/>
      <c r="Q20" s="490"/>
      <c r="R20" s="490"/>
      <c r="S20" s="490"/>
    </row>
    <row r="21" spans="1:19" s="69" customFormat="1" x14ac:dyDescent="0.35">
      <c r="A21" s="490"/>
      <c r="B21" s="77" t="s">
        <v>70</v>
      </c>
      <c r="C21" s="77">
        <f>C19+C18</f>
        <v>120000</v>
      </c>
      <c r="D21" s="490"/>
      <c r="E21" s="490"/>
      <c r="F21" s="490"/>
      <c r="G21" s="490"/>
      <c r="H21" s="490"/>
      <c r="I21" s="490"/>
      <c r="J21" s="490"/>
      <c r="K21" s="490"/>
      <c r="L21" s="490"/>
      <c r="M21" s="490"/>
      <c r="N21" s="490"/>
      <c r="O21" s="490"/>
      <c r="P21" s="490"/>
      <c r="Q21" s="490"/>
      <c r="R21" s="490"/>
      <c r="S21" s="490"/>
    </row>
    <row r="22" spans="1:19" s="69" customFormat="1" x14ac:dyDescent="0.35">
      <c r="A22" s="490"/>
      <c r="B22" s="490"/>
      <c r="C22" s="490"/>
      <c r="D22" s="490"/>
      <c r="E22" s="490"/>
      <c r="F22" s="490"/>
      <c r="G22" s="490"/>
      <c r="H22" s="490"/>
      <c r="I22" s="490"/>
      <c r="J22" s="490"/>
      <c r="K22" s="490"/>
      <c r="L22" s="490"/>
      <c r="M22" s="490"/>
      <c r="N22" s="490"/>
      <c r="O22" s="490"/>
      <c r="P22" s="490"/>
      <c r="Q22" s="490"/>
      <c r="R22" s="490"/>
      <c r="S22" s="490"/>
    </row>
    <row r="23" spans="1:19" s="69" customFormat="1" x14ac:dyDescent="0.35">
      <c r="B23" s="519"/>
    </row>
    <row r="24" spans="1:19" s="277" customFormat="1" x14ac:dyDescent="0.35">
      <c r="A24" s="205" t="s">
        <v>131</v>
      </c>
      <c r="B24" s="518"/>
    </row>
    <row r="25" spans="1:19" s="277" customFormat="1" x14ac:dyDescent="0.35">
      <c r="A25" s="277">
        <v>2.4</v>
      </c>
      <c r="B25" s="694" t="s">
        <v>451</v>
      </c>
    </row>
    <row r="26" spans="1:19" s="277" customFormat="1" x14ac:dyDescent="0.35">
      <c r="B26" s="518"/>
    </row>
    <row r="27" spans="1:19" s="277" customFormat="1" x14ac:dyDescent="0.35">
      <c r="A27" s="205" t="s">
        <v>215</v>
      </c>
    </row>
    <row r="28" spans="1:19" s="277" customFormat="1" x14ac:dyDescent="0.35">
      <c r="A28" s="277">
        <v>2.4</v>
      </c>
      <c r="B28" s="695" t="s">
        <v>452</v>
      </c>
    </row>
    <row r="29" spans="1:19" s="277" customFormat="1" x14ac:dyDescent="0.35"/>
    <row r="30" spans="1:19" s="69" customFormat="1" x14ac:dyDescent="0.35">
      <c r="B30" s="240"/>
    </row>
    <row r="31" spans="1:19" x14ac:dyDescent="0.35">
      <c r="B31" s="27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0"/>
  <sheetViews>
    <sheetView zoomScale="90" zoomScaleNormal="90" workbookViewId="0">
      <selection activeCell="F43" sqref="F43"/>
    </sheetView>
  </sheetViews>
  <sheetFormatPr defaultRowHeight="14.5" x14ac:dyDescent="0.35"/>
  <cols>
    <col min="1" max="1" width="4.6328125" customWidth="1"/>
    <col min="2" max="2" width="5.90625" customWidth="1"/>
    <col min="3" max="3" width="26.90625" customWidth="1"/>
    <col min="4" max="4" width="23" customWidth="1"/>
    <col min="5" max="5" width="23.453125" customWidth="1"/>
    <col min="6" max="6" width="16.90625" customWidth="1"/>
    <col min="7" max="7" width="14.6328125" bestFit="1" customWidth="1"/>
    <col min="8" max="8" width="15.08984375" style="69" bestFit="1" customWidth="1"/>
    <col min="9" max="9" width="20" style="69" customWidth="1"/>
    <col min="10" max="10" width="14.453125" style="69" customWidth="1"/>
    <col min="11" max="11" width="13.08984375" customWidth="1"/>
    <col min="12" max="12" width="14.54296875" customWidth="1"/>
    <col min="13" max="13" width="17.08984375" customWidth="1"/>
    <col min="14" max="14" width="20" customWidth="1"/>
    <col min="15" max="15" width="14.90625" customWidth="1"/>
    <col min="16" max="16" width="13.36328125" customWidth="1"/>
    <col min="17" max="17" width="10.6328125" customWidth="1"/>
    <col min="18" max="18" width="11.453125" customWidth="1"/>
    <col min="19" max="19" width="12.6328125" customWidth="1"/>
    <col min="20" max="20" width="12.453125" customWidth="1"/>
    <col min="21" max="21" width="11.453125" customWidth="1"/>
    <col min="22" max="22" width="16.08984375" customWidth="1"/>
    <col min="23" max="23" width="13.6328125" customWidth="1"/>
  </cols>
  <sheetData>
    <row r="1" spans="1:16" x14ac:dyDescent="0.35">
      <c r="A1" s="457" t="s">
        <v>361</v>
      </c>
      <c r="C1" s="36"/>
      <c r="D1" s="36"/>
      <c r="E1" s="36"/>
      <c r="F1" s="36"/>
    </row>
    <row r="2" spans="1:16" s="69" customFormat="1" x14ac:dyDescent="0.35">
      <c r="A2" s="57"/>
    </row>
    <row r="3" spans="1:16" x14ac:dyDescent="0.35">
      <c r="E3" s="801" t="s">
        <v>124</v>
      </c>
      <c r="F3" s="801"/>
      <c r="G3" s="801"/>
      <c r="H3" s="801"/>
    </row>
    <row r="4" spans="1:16" x14ac:dyDescent="0.35">
      <c r="A4" s="57" t="s">
        <v>98</v>
      </c>
      <c r="E4" s="44">
        <v>1</v>
      </c>
      <c r="F4" s="44">
        <v>10</v>
      </c>
      <c r="G4" s="44">
        <v>50</v>
      </c>
      <c r="H4" s="44">
        <v>100</v>
      </c>
      <c r="I4" s="61"/>
      <c r="J4" s="61"/>
    </row>
    <row r="5" spans="1:16" x14ac:dyDescent="0.35">
      <c r="B5">
        <v>2.5</v>
      </c>
      <c r="C5" t="s">
        <v>53</v>
      </c>
      <c r="E5" s="40">
        <f>D42*E4</f>
        <v>125834.83333333333</v>
      </c>
      <c r="F5" s="494">
        <f>E42*F4</f>
        <v>1148980.3154974584</v>
      </c>
      <c r="G5" s="494">
        <f>F42*G4</f>
        <v>5391150.5834978288</v>
      </c>
      <c r="H5" s="494">
        <f>G42*H4</f>
        <v>8218924.67189625</v>
      </c>
      <c r="I5" s="43"/>
      <c r="J5" s="43"/>
    </row>
    <row r="7" spans="1:16" s="516" customFormat="1" x14ac:dyDescent="0.35"/>
    <row r="8" spans="1:16" s="516" customFormat="1" x14ac:dyDescent="0.35">
      <c r="A8" s="457" t="s">
        <v>476</v>
      </c>
      <c r="E8" s="457"/>
      <c r="F8" s="457"/>
    </row>
    <row r="9" spans="1:16" s="516" customFormat="1" x14ac:dyDescent="0.35"/>
    <row r="10" spans="1:16" s="516" customFormat="1" x14ac:dyDescent="0.35">
      <c r="B10" s="516" t="s">
        <v>464</v>
      </c>
      <c r="D10" s="433" t="s">
        <v>417</v>
      </c>
      <c r="E10" s="433" t="s">
        <v>124</v>
      </c>
      <c r="F10" s="433" t="s">
        <v>418</v>
      </c>
      <c r="G10" s="433" t="s">
        <v>419</v>
      </c>
      <c r="H10" s="433" t="s">
        <v>420</v>
      </c>
    </row>
    <row r="11" spans="1:16" s="516" customFormat="1" x14ac:dyDescent="0.35">
      <c r="C11" s="516" t="s">
        <v>464</v>
      </c>
      <c r="D11" s="706">
        <f>'1.5'!F8</f>
        <v>400000</v>
      </c>
      <c r="E11" s="516">
        <v>1</v>
      </c>
      <c r="F11" s="516">
        <v>8</v>
      </c>
      <c r="G11" s="425">
        <f>D11*E11*H11</f>
        <v>50000</v>
      </c>
      <c r="H11" s="276">
        <f>1/F11</f>
        <v>0.125</v>
      </c>
    </row>
    <row r="12" spans="1:16" s="516" customFormat="1" x14ac:dyDescent="0.35">
      <c r="B12" s="516" t="s">
        <v>414</v>
      </c>
      <c r="D12" s="706"/>
      <c r="G12" s="425"/>
      <c r="H12" s="276"/>
    </row>
    <row r="13" spans="1:16" s="516" customFormat="1" x14ac:dyDescent="0.35">
      <c r="C13" s="516" t="s">
        <v>33</v>
      </c>
      <c r="D13" s="706">
        <f>'1.5'!F4</f>
        <v>70060</v>
      </c>
      <c r="E13" s="516">
        <v>1</v>
      </c>
      <c r="F13" s="516">
        <v>10</v>
      </c>
      <c r="G13" s="425">
        <f t="shared" ref="G13:G15" si="0">D13*E13*H13</f>
        <v>7006</v>
      </c>
      <c r="H13" s="276">
        <f t="shared" ref="H13:H15" si="1">1/F13</f>
        <v>0.1</v>
      </c>
    </row>
    <row r="14" spans="1:16" s="516" customFormat="1" x14ac:dyDescent="0.35">
      <c r="C14" s="516" t="s">
        <v>38</v>
      </c>
      <c r="D14" s="706">
        <f>'1.5'!F5</f>
        <v>300000</v>
      </c>
      <c r="E14" s="516">
        <v>1</v>
      </c>
      <c r="F14" s="516">
        <v>7.5</v>
      </c>
      <c r="G14" s="425">
        <f t="shared" si="0"/>
        <v>40000</v>
      </c>
      <c r="H14" s="276">
        <f t="shared" si="1"/>
        <v>0.13333333333333333</v>
      </c>
      <c r="L14"/>
      <c r="M14"/>
      <c r="N14"/>
      <c r="O14"/>
      <c r="P14"/>
    </row>
    <row r="15" spans="1:16" s="516" customFormat="1" x14ac:dyDescent="0.35">
      <c r="C15" s="516" t="s">
        <v>40</v>
      </c>
      <c r="D15" s="706">
        <f>'1.5'!F6</f>
        <v>200000</v>
      </c>
      <c r="E15" s="516">
        <v>1</v>
      </c>
      <c r="F15" s="516">
        <v>15</v>
      </c>
      <c r="G15" s="425">
        <f t="shared" si="0"/>
        <v>13333.333333333334</v>
      </c>
      <c r="H15" s="276">
        <f t="shared" si="1"/>
        <v>6.6666666666666666E-2</v>
      </c>
      <c r="L15"/>
      <c r="M15"/>
      <c r="N15"/>
      <c r="O15"/>
      <c r="P15"/>
    </row>
    <row r="16" spans="1:16" s="516" customFormat="1" x14ac:dyDescent="0.35">
      <c r="B16" s="516" t="s">
        <v>415</v>
      </c>
      <c r="D16" s="706"/>
      <c r="G16" s="425"/>
      <c r="H16" s="276"/>
      <c r="L16"/>
      <c r="M16"/>
      <c r="N16"/>
      <c r="O16"/>
      <c r="P16"/>
    </row>
    <row r="17" spans="1:16" s="516" customFormat="1" x14ac:dyDescent="0.35">
      <c r="C17" s="516" t="s">
        <v>42</v>
      </c>
      <c r="D17" s="706">
        <f>'1.5'!F7</f>
        <v>50000</v>
      </c>
      <c r="E17" s="516">
        <v>1</v>
      </c>
      <c r="F17" s="516">
        <v>10</v>
      </c>
      <c r="G17" s="425">
        <f t="shared" ref="G17" si="2">D17*E17*H17</f>
        <v>5000</v>
      </c>
      <c r="H17" s="276">
        <f t="shared" ref="H17:H18" si="3">1/F17</f>
        <v>0.1</v>
      </c>
      <c r="L17" s="69"/>
      <c r="M17" s="69"/>
      <c r="N17" s="69"/>
      <c r="O17" s="69"/>
      <c r="P17" s="69"/>
    </row>
    <row r="18" spans="1:16" s="516" customFormat="1" x14ac:dyDescent="0.35">
      <c r="C18" s="516" t="s">
        <v>416</v>
      </c>
      <c r="D18" s="706">
        <f>'1.3'!E10</f>
        <v>524775</v>
      </c>
      <c r="E18" s="516">
        <v>1</v>
      </c>
      <c r="F18" s="516">
        <v>50</v>
      </c>
      <c r="G18" s="425">
        <f>D18*E18*H18</f>
        <v>10495.5</v>
      </c>
      <c r="H18" s="276">
        <f t="shared" si="3"/>
        <v>0.02</v>
      </c>
      <c r="L18" s="69"/>
      <c r="M18" s="69"/>
      <c r="N18" s="69"/>
      <c r="O18" s="69"/>
      <c r="P18" s="69"/>
    </row>
    <row r="19" spans="1:16" x14ac:dyDescent="0.35">
      <c r="A19" s="516"/>
      <c r="B19" s="516"/>
      <c r="C19" s="516"/>
      <c r="D19" s="516"/>
      <c r="E19" s="516"/>
      <c r="F19" s="516"/>
      <c r="G19" s="425"/>
      <c r="H19" s="516"/>
      <c r="J19"/>
      <c r="L19" s="69"/>
      <c r="M19" s="69"/>
      <c r="N19" s="69"/>
      <c r="O19" s="69"/>
      <c r="P19" s="69"/>
    </row>
    <row r="20" spans="1:16" x14ac:dyDescent="0.35">
      <c r="A20" s="516"/>
      <c r="B20" s="305" t="s">
        <v>70</v>
      </c>
      <c r="C20" s="305"/>
      <c r="D20" s="305"/>
      <c r="E20" s="305"/>
      <c r="F20" s="305"/>
      <c r="G20" s="203">
        <f>SUM(G11:G18)</f>
        <v>125834.83333333333</v>
      </c>
      <c r="H20" s="641">
        <f>SUM(H11:H18)</f>
        <v>0.54500000000000004</v>
      </c>
      <c r="J20"/>
    </row>
    <row r="21" spans="1:16" s="69" customFormat="1" x14ac:dyDescent="0.35">
      <c r="B21" s="411"/>
      <c r="E21" s="414"/>
      <c r="F21" s="414"/>
      <c r="G21" s="414"/>
      <c r="H21" s="414"/>
      <c r="I21" s="407"/>
    </row>
    <row r="22" spans="1:16" s="516" customFormat="1" x14ac:dyDescent="0.35">
      <c r="A22" s="457" t="s">
        <v>477</v>
      </c>
      <c r="E22" s="433"/>
      <c r="F22" s="433"/>
      <c r="G22" s="433"/>
      <c r="H22" s="433"/>
    </row>
    <row r="23" spans="1:16" s="516" customFormat="1" x14ac:dyDescent="0.35">
      <c r="E23" s="433"/>
      <c r="F23" s="433"/>
      <c r="G23" s="433"/>
      <c r="H23" s="433"/>
    </row>
    <row r="24" spans="1:16" s="516" customFormat="1" x14ac:dyDescent="0.35">
      <c r="B24" s="516" t="s">
        <v>464</v>
      </c>
      <c r="D24" s="433" t="s">
        <v>417</v>
      </c>
      <c r="E24" s="433" t="s">
        <v>124</v>
      </c>
      <c r="F24" s="433" t="s">
        <v>418</v>
      </c>
      <c r="G24" s="433" t="s">
        <v>419</v>
      </c>
      <c r="H24" s="433" t="s">
        <v>420</v>
      </c>
    </row>
    <row r="25" spans="1:16" s="516" customFormat="1" x14ac:dyDescent="0.35">
      <c r="C25" s="516" t="s">
        <v>464</v>
      </c>
      <c r="D25" s="426">
        <f>'1.5'!I29</f>
        <v>198634.0988502058</v>
      </c>
      <c r="E25" s="516">
        <v>1</v>
      </c>
      <c r="F25" s="516">
        <v>8</v>
      </c>
      <c r="G25" s="425">
        <f>D25*E25*H25</f>
        <v>24829.262356275725</v>
      </c>
      <c r="H25" s="276">
        <f>1/F25</f>
        <v>0.125</v>
      </c>
    </row>
    <row r="26" spans="1:16" s="516" customFormat="1" x14ac:dyDescent="0.35">
      <c r="B26" s="516" t="s">
        <v>414</v>
      </c>
      <c r="D26" s="426"/>
      <c r="G26" s="425"/>
      <c r="H26" s="276"/>
    </row>
    <row r="27" spans="1:16" s="516" customFormat="1" x14ac:dyDescent="0.35">
      <c r="C27" s="516" t="s">
        <v>33</v>
      </c>
      <c r="D27" s="426">
        <f>'1.5'!I30</f>
        <v>49827.48534592973</v>
      </c>
      <c r="E27" s="516">
        <v>1</v>
      </c>
      <c r="F27" s="516">
        <v>10</v>
      </c>
      <c r="G27" s="425">
        <f t="shared" ref="G27:G29" si="4">D27*E27*H27</f>
        <v>4982.7485345929736</v>
      </c>
      <c r="H27" s="276">
        <f t="shared" ref="H27:H29" si="5">1/F27</f>
        <v>0.1</v>
      </c>
    </row>
    <row r="28" spans="1:16" s="516" customFormat="1" x14ac:dyDescent="0.35">
      <c r="C28" s="516" t="s">
        <v>38</v>
      </c>
      <c r="D28" s="426">
        <f>'1.5'!I31</f>
        <v>213363.48278302766</v>
      </c>
      <c r="E28" s="516">
        <v>1</v>
      </c>
      <c r="F28" s="516">
        <v>7.5</v>
      </c>
      <c r="G28" s="425">
        <f t="shared" si="4"/>
        <v>28448.464371070353</v>
      </c>
      <c r="H28" s="276">
        <f t="shared" si="5"/>
        <v>0.13333333333333333</v>
      </c>
    </row>
    <row r="29" spans="1:16" s="516" customFormat="1" x14ac:dyDescent="0.35">
      <c r="C29" s="516" t="s">
        <v>40</v>
      </c>
      <c r="D29" s="426">
        <f>'1.5'!I32</f>
        <v>142242.32185535177</v>
      </c>
      <c r="E29" s="516">
        <v>1</v>
      </c>
      <c r="F29" s="516">
        <v>15</v>
      </c>
      <c r="G29" s="425">
        <f t="shared" si="4"/>
        <v>9482.8214570234504</v>
      </c>
      <c r="H29" s="276">
        <f t="shared" si="5"/>
        <v>6.6666666666666666E-2</v>
      </c>
    </row>
    <row r="30" spans="1:16" s="516" customFormat="1" x14ac:dyDescent="0.35">
      <c r="B30" s="516" t="s">
        <v>415</v>
      </c>
      <c r="D30" s="426"/>
      <c r="G30" s="425"/>
      <c r="H30" s="276"/>
    </row>
    <row r="31" spans="1:16" s="516" customFormat="1" x14ac:dyDescent="0.35">
      <c r="C31" s="516" t="s">
        <v>42</v>
      </c>
      <c r="D31" s="426">
        <f>D17</f>
        <v>50000</v>
      </c>
      <c r="E31" s="516">
        <v>1</v>
      </c>
      <c r="F31" s="516">
        <v>10</v>
      </c>
      <c r="G31" s="425">
        <f t="shared" ref="G31:G32" si="6">D31*E31*H31</f>
        <v>5000</v>
      </c>
      <c r="H31" s="276">
        <f t="shared" ref="H31:H32" si="7">1/F31</f>
        <v>0.1</v>
      </c>
    </row>
    <row r="32" spans="1:16" s="516" customFormat="1" x14ac:dyDescent="0.35">
      <c r="C32" s="516" t="s">
        <v>416</v>
      </c>
      <c r="D32" s="426">
        <f>'1.3'!H10/'1.3'!H3</f>
        <v>472297.5</v>
      </c>
      <c r="E32" s="516">
        <v>1</v>
      </c>
      <c r="F32" s="516">
        <v>50</v>
      </c>
      <c r="G32" s="425">
        <f t="shared" si="6"/>
        <v>9445.9500000000007</v>
      </c>
      <c r="H32" s="276">
        <f t="shared" si="7"/>
        <v>0.02</v>
      </c>
    </row>
    <row r="33" spans="1:17" s="516" customFormat="1" x14ac:dyDescent="0.35">
      <c r="D33" s="426"/>
      <c r="G33" s="425"/>
    </row>
    <row r="34" spans="1:17" s="516" customFormat="1" x14ac:dyDescent="0.35">
      <c r="B34" s="305" t="s">
        <v>70</v>
      </c>
      <c r="C34" s="305"/>
      <c r="D34" s="111">
        <f>SUM(D25:D32)</f>
        <v>1126364.8888345151</v>
      </c>
      <c r="E34" s="305"/>
      <c r="F34" s="305"/>
      <c r="G34" s="203">
        <f>SUM(G25:G32)</f>
        <v>82189.246718962502</v>
      </c>
      <c r="H34" s="641">
        <f>SUM(H25:H32)</f>
        <v>0.54500000000000004</v>
      </c>
    </row>
    <row r="35" spans="1:17" s="516" customFormat="1" x14ac:dyDescent="0.35">
      <c r="D35" s="426"/>
      <c r="E35" s="642"/>
      <c r="F35" s="642"/>
      <c r="G35" s="642"/>
      <c r="H35" s="643"/>
    </row>
    <row r="36" spans="1:17" s="516" customFormat="1" x14ac:dyDescent="0.35">
      <c r="B36" s="517" t="s">
        <v>403</v>
      </c>
      <c r="C36" s="517"/>
      <c r="D36" s="645" t="e">
        <f>G34/E8</f>
        <v>#DIV/0!</v>
      </c>
      <c r="E36" s="642"/>
      <c r="F36" s="642"/>
      <c r="G36" s="644"/>
      <c r="H36" s="642"/>
    </row>
    <row r="37" spans="1:17" s="516" customFormat="1" x14ac:dyDescent="0.35">
      <c r="E37" s="433"/>
      <c r="F37" s="433"/>
      <c r="G37" s="433"/>
      <c r="H37" s="433"/>
    </row>
    <row r="38" spans="1:17" s="516" customFormat="1" x14ac:dyDescent="0.35">
      <c r="B38" s="516" t="s">
        <v>422</v>
      </c>
      <c r="D38" s="45">
        <v>0.97299999999999998</v>
      </c>
      <c r="E38" s="433"/>
      <c r="F38" s="433"/>
      <c r="G38" s="433"/>
      <c r="H38" s="433"/>
    </row>
    <row r="39" spans="1:17" s="516" customFormat="1" x14ac:dyDescent="0.35">
      <c r="D39" s="45"/>
      <c r="E39" s="433"/>
      <c r="F39" s="433"/>
      <c r="G39" s="433"/>
      <c r="H39" s="433"/>
    </row>
    <row r="40" spans="1:17" s="69" customFormat="1" x14ac:dyDescent="0.35">
      <c r="A40" s="457" t="s">
        <v>423</v>
      </c>
      <c r="B40" s="411"/>
      <c r="E40" s="102" t="s">
        <v>271</v>
      </c>
      <c r="F40" s="413" t="s">
        <v>59</v>
      </c>
      <c r="G40" s="413"/>
      <c r="H40" s="413"/>
      <c r="I40" s="407"/>
    </row>
    <row r="41" spans="1:17" s="69" customFormat="1" x14ac:dyDescent="0.35">
      <c r="B41" s="411"/>
      <c r="D41" s="489">
        <v>1</v>
      </c>
      <c r="E41" s="117">
        <v>10</v>
      </c>
      <c r="F41" s="117">
        <v>50</v>
      </c>
      <c r="G41" s="117">
        <v>100</v>
      </c>
      <c r="H41" s="415"/>
      <c r="I41" s="411"/>
    </row>
    <row r="42" spans="1:17" s="69" customFormat="1" x14ac:dyDescent="0.35">
      <c r="B42" s="305" t="s">
        <v>70</v>
      </c>
      <c r="C42" s="305"/>
      <c r="D42" s="203">
        <f>G20</f>
        <v>125834.83333333333</v>
      </c>
      <c r="E42" s="111">
        <f>$D$42*E41^(LOG10($D$38)/LOG10(2))</f>
        <v>114898.03154974585</v>
      </c>
      <c r="F42" s="111">
        <f>$D$42*F41^(LOG10($D$38)/LOG10(2))</f>
        <v>107823.01166995658</v>
      </c>
      <c r="G42" s="111">
        <f>G34</f>
        <v>82189.246718962502</v>
      </c>
      <c r="H42" s="412"/>
      <c r="I42" s="411"/>
      <c r="J42" s="411"/>
    </row>
    <row r="43" spans="1:17" s="69" customFormat="1" x14ac:dyDescent="0.35"/>
    <row r="44" spans="1:17" s="69" customFormat="1" x14ac:dyDescent="0.35">
      <c r="E44" s="40"/>
      <c r="M44"/>
      <c r="N44"/>
      <c r="O44"/>
      <c r="P44"/>
      <c r="Q44"/>
    </row>
    <row r="45" spans="1:17" s="69" customFormat="1" x14ac:dyDescent="0.35"/>
    <row r="46" spans="1:17" s="69" customFormat="1" x14ac:dyDescent="0.35">
      <c r="A46" s="205" t="s">
        <v>131</v>
      </c>
    </row>
    <row r="47" spans="1:17" x14ac:dyDescent="0.35">
      <c r="A47" s="277">
        <v>2.5</v>
      </c>
      <c r="B47" s="411" t="s">
        <v>456</v>
      </c>
      <c r="M47" s="69"/>
      <c r="N47" s="69"/>
      <c r="O47" s="69"/>
      <c r="P47" s="69"/>
      <c r="Q47" s="69"/>
    </row>
    <row r="48" spans="1:17" s="69" customFormat="1" x14ac:dyDescent="0.35">
      <c r="A48" s="277"/>
      <c r="K48" s="61"/>
      <c r="L48" s="61"/>
    </row>
    <row r="49" spans="1:17" s="69" customFormat="1" x14ac:dyDescent="0.35">
      <c r="A49" s="277"/>
      <c r="B49" s="228"/>
      <c r="C49" s="228"/>
      <c r="D49" s="228"/>
      <c r="E49" s="229"/>
      <c r="F49" s="30"/>
      <c r="G49" s="30"/>
      <c r="H49" s="30"/>
      <c r="I49" s="30"/>
      <c r="J49" s="30"/>
      <c r="K49" s="230"/>
      <c r="L49" s="83"/>
    </row>
    <row r="50" spans="1:17" s="69" customFormat="1" x14ac:dyDescent="0.35">
      <c r="A50" s="205" t="s">
        <v>215</v>
      </c>
      <c r="B50" s="228"/>
      <c r="C50" s="228"/>
      <c r="D50" s="228"/>
      <c r="E50" s="229"/>
      <c r="F50" s="30"/>
      <c r="G50" s="30"/>
      <c r="H50" s="30"/>
      <c r="I50" s="30"/>
      <c r="J50" s="30"/>
      <c r="K50" s="230"/>
      <c r="L50" s="83"/>
    </row>
    <row r="51" spans="1:17" s="69" customFormat="1" x14ac:dyDescent="0.35">
      <c r="A51" s="69">
        <v>2.5</v>
      </c>
      <c r="B51" s="208" t="s">
        <v>296</v>
      </c>
      <c r="C51" s="208"/>
      <c r="D51" s="208"/>
      <c r="E51" s="208"/>
      <c r="F51" s="30"/>
      <c r="G51" s="30"/>
      <c r="H51" s="30"/>
      <c r="I51" s="30"/>
      <c r="J51" s="30"/>
      <c r="K51" s="230"/>
      <c r="L51" s="83"/>
    </row>
    <row r="52" spans="1:17" s="69" customFormat="1" x14ac:dyDescent="0.35">
      <c r="B52" s="208"/>
      <c r="C52" s="208"/>
      <c r="D52" s="208"/>
      <c r="E52" s="208"/>
      <c r="F52" s="30"/>
      <c r="G52" s="30"/>
      <c r="H52" s="30"/>
      <c r="I52" s="30"/>
      <c r="J52" s="30"/>
      <c r="K52" s="230"/>
      <c r="L52" s="83"/>
    </row>
    <row r="53" spans="1:17" s="69" customFormat="1" x14ac:dyDescent="0.35">
      <c r="B53" s="208"/>
      <c r="C53" s="208"/>
      <c r="D53" s="208"/>
      <c r="E53" s="208"/>
      <c r="F53" s="30"/>
      <c r="G53" s="30"/>
      <c r="H53" s="30"/>
      <c r="I53" s="30"/>
      <c r="J53" s="30"/>
      <c r="K53" s="230"/>
      <c r="L53" s="83"/>
    </row>
    <row r="54" spans="1:17" s="69" customFormat="1" x14ac:dyDescent="0.35">
      <c r="B54" s="208"/>
      <c r="C54" s="208"/>
      <c r="D54" s="208"/>
      <c r="E54" s="208"/>
      <c r="F54" s="30"/>
      <c r="G54" s="30"/>
      <c r="H54" s="30"/>
      <c r="I54" s="30"/>
      <c r="J54" s="30"/>
      <c r="K54" s="230"/>
      <c r="L54" s="83"/>
    </row>
    <row r="55" spans="1:17" s="69" customFormat="1" x14ac:dyDescent="0.35">
      <c r="A55" s="23"/>
      <c r="B55" s="208"/>
      <c r="C55" s="208"/>
      <c r="D55" s="208"/>
      <c r="E55" s="208"/>
      <c r="F55" s="30"/>
      <c r="G55" s="30"/>
      <c r="H55" s="30"/>
      <c r="I55" s="30"/>
      <c r="J55" s="30"/>
      <c r="K55" s="230"/>
      <c r="L55" s="83"/>
    </row>
    <row r="56" spans="1:17" s="69" customFormat="1" x14ac:dyDescent="0.35">
      <c r="B56" s="208"/>
      <c r="C56" s="208"/>
      <c r="D56" s="208"/>
      <c r="E56" s="208"/>
      <c r="F56" s="30"/>
      <c r="G56" s="30"/>
      <c r="H56" s="30"/>
      <c r="I56" s="30"/>
      <c r="J56" s="30"/>
      <c r="K56" s="230"/>
      <c r="L56" s="83"/>
    </row>
    <row r="57" spans="1:17" s="69" customFormat="1" x14ac:dyDescent="0.35">
      <c r="B57" s="208"/>
      <c r="C57" s="208"/>
      <c r="D57" s="208"/>
      <c r="E57" s="208"/>
      <c r="F57" s="30"/>
      <c r="G57" s="30"/>
      <c r="H57" s="30"/>
      <c r="I57" s="30"/>
      <c r="J57" s="30"/>
      <c r="K57" s="230"/>
      <c r="L57" s="83"/>
    </row>
    <row r="58" spans="1:17" s="69" customFormat="1" x14ac:dyDescent="0.35">
      <c r="B58" s="208"/>
      <c r="C58" s="208"/>
      <c r="D58" s="208"/>
      <c r="E58" s="208"/>
      <c r="F58" s="30"/>
      <c r="G58" s="30"/>
      <c r="H58" s="30"/>
      <c r="I58" s="30"/>
      <c r="J58" s="30"/>
      <c r="K58" s="230"/>
      <c r="L58" s="83"/>
    </row>
    <row r="59" spans="1:17" s="69" customFormat="1" x14ac:dyDescent="0.35">
      <c r="B59" s="208"/>
      <c r="C59" s="208"/>
      <c r="D59" s="208"/>
      <c r="E59" s="208"/>
      <c r="F59" s="30"/>
      <c r="G59" s="30"/>
      <c r="H59" s="30"/>
      <c r="I59" s="30"/>
      <c r="J59" s="30"/>
      <c r="K59" s="230"/>
      <c r="L59" s="83"/>
      <c r="M59" s="277"/>
      <c r="N59" s="277"/>
      <c r="O59" s="277"/>
      <c r="P59" s="277"/>
      <c r="Q59" s="277"/>
    </row>
    <row r="60" spans="1:17" s="69" customFormat="1" x14ac:dyDescent="0.35">
      <c r="B60" s="208"/>
      <c r="C60" s="208"/>
      <c r="D60" s="208"/>
      <c r="E60" s="208"/>
      <c r="F60" s="30"/>
      <c r="G60" s="30"/>
      <c r="H60" s="30"/>
      <c r="I60" s="30"/>
      <c r="J60" s="30"/>
      <c r="K60" s="230"/>
      <c r="L60" s="83"/>
      <c r="M60" s="277"/>
      <c r="N60" s="277"/>
      <c r="O60" s="277"/>
      <c r="P60" s="277"/>
      <c r="Q60" s="277"/>
    </row>
    <row r="61" spans="1:17" s="69" customFormat="1" x14ac:dyDescent="0.35">
      <c r="B61" s="208"/>
      <c r="C61" s="208"/>
      <c r="D61" s="208"/>
      <c r="E61" s="208"/>
      <c r="F61" s="30"/>
      <c r="G61" s="30"/>
      <c r="H61" s="30"/>
      <c r="I61" s="30"/>
      <c r="J61" s="30"/>
      <c r="K61" s="230"/>
      <c r="L61" s="83"/>
      <c r="M61" s="277"/>
      <c r="N61" s="277"/>
      <c r="O61" s="277"/>
      <c r="P61" s="277"/>
      <c r="Q61" s="277"/>
    </row>
    <row r="62" spans="1:17" s="69" customFormat="1" x14ac:dyDescent="0.35">
      <c r="B62" s="208"/>
      <c r="C62" s="208"/>
      <c r="D62" s="208"/>
      <c r="E62" s="208"/>
      <c r="F62" s="30"/>
      <c r="G62" s="30"/>
      <c r="H62" s="30"/>
      <c r="I62" s="30"/>
      <c r="J62" s="30"/>
      <c r="K62" s="230"/>
      <c r="L62" s="83"/>
      <c r="M62" s="277"/>
      <c r="N62" s="277"/>
      <c r="O62" s="277"/>
      <c r="P62" s="277"/>
      <c r="Q62" s="277"/>
    </row>
    <row r="63" spans="1:17" s="69" customFormat="1" x14ac:dyDescent="0.35">
      <c r="D63" s="65"/>
      <c r="E63" s="65"/>
      <c r="F63" s="47"/>
      <c r="G63" s="47"/>
      <c r="H63" s="47"/>
      <c r="I63" s="47"/>
      <c r="J63" s="47"/>
      <c r="K63" s="47"/>
      <c r="L63" s="25"/>
      <c r="M63" s="277"/>
      <c r="N63" s="277"/>
      <c r="O63" s="277"/>
      <c r="P63" s="277"/>
      <c r="Q63" s="277"/>
    </row>
    <row r="64" spans="1:17" s="277" customFormat="1" x14ac:dyDescent="0.35"/>
    <row r="65" spans="13:17" s="277" customFormat="1" x14ac:dyDescent="0.35"/>
    <row r="66" spans="13:17" s="277" customFormat="1" x14ac:dyDescent="0.35">
      <c r="M66"/>
      <c r="N66"/>
      <c r="O66"/>
      <c r="P66"/>
      <c r="Q66"/>
    </row>
    <row r="67" spans="13:17" s="277" customFormat="1" x14ac:dyDescent="0.35">
      <c r="M67"/>
      <c r="N67"/>
      <c r="O67"/>
      <c r="P67"/>
      <c r="Q67"/>
    </row>
    <row r="68" spans="13:17" s="277" customFormat="1" x14ac:dyDescent="0.35">
      <c r="M68"/>
      <c r="N68"/>
      <c r="O68"/>
      <c r="P68"/>
      <c r="Q68"/>
    </row>
    <row r="69" spans="13:17" s="277" customFormat="1" x14ac:dyDescent="0.35">
      <c r="M69"/>
      <c r="N69"/>
      <c r="O69"/>
      <c r="P69"/>
      <c r="Q69"/>
    </row>
    <row r="70" spans="13:17" s="277" customFormat="1" x14ac:dyDescent="0.35">
      <c r="M70"/>
      <c r="N70"/>
      <c r="O70"/>
      <c r="P70"/>
      <c r="Q70"/>
    </row>
  </sheetData>
  <mergeCells count="1">
    <mergeCell ref="E3:H3"/>
  </mergeCells>
  <dataValidations count="1">
    <dataValidation type="list" showInputMessage="1" showErrorMessage="1" sqref="E49:E62">
      <formula1>$V$4:$V$44</formula1>
    </dataValidation>
  </dataValidations>
  <pageMargins left="0.7" right="0.7" top="0.75" bottom="0.75" header="0.3" footer="0.3"/>
  <pageSetup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18"/>
  <sheetViews>
    <sheetView zoomScale="70" zoomScaleNormal="70" workbookViewId="0">
      <selection activeCell="G45" sqref="G45"/>
    </sheetView>
  </sheetViews>
  <sheetFormatPr defaultRowHeight="14.5" x14ac:dyDescent="0.35"/>
  <cols>
    <col min="1" max="1" width="5" customWidth="1"/>
    <col min="2" max="2" width="5.54296875" customWidth="1"/>
    <col min="3" max="3" width="38.36328125" customWidth="1"/>
    <col min="4" max="4" width="14.54296875" bestFit="1" customWidth="1"/>
    <col min="5" max="5" width="14.54296875" customWidth="1"/>
    <col min="6" max="6" width="14.6328125" customWidth="1"/>
    <col min="7" max="7" width="12.54296875" customWidth="1"/>
    <col min="8" max="8" width="14.08984375" customWidth="1"/>
  </cols>
  <sheetData>
    <row r="1" spans="1:18" x14ac:dyDescent="0.35">
      <c r="A1" s="457" t="s">
        <v>362</v>
      </c>
    </row>
    <row r="3" spans="1:18" x14ac:dyDescent="0.35">
      <c r="A3" s="41" t="s">
        <v>98</v>
      </c>
      <c r="D3" s="39" t="s">
        <v>59</v>
      </c>
      <c r="E3" s="44">
        <v>1</v>
      </c>
      <c r="F3" s="44">
        <v>10</v>
      </c>
      <c r="G3" s="44">
        <v>50</v>
      </c>
      <c r="H3" s="44">
        <v>100</v>
      </c>
      <c r="I3" s="39"/>
      <c r="J3" s="39"/>
      <c r="K3" s="39"/>
      <c r="L3" s="39"/>
      <c r="M3" s="39"/>
      <c r="N3" s="39"/>
      <c r="O3" s="39"/>
    </row>
    <row r="4" spans="1:18" x14ac:dyDescent="0.35">
      <c r="A4" s="41"/>
      <c r="B4">
        <v>2.6</v>
      </c>
      <c r="C4" t="s">
        <v>54</v>
      </c>
      <c r="D4" s="39"/>
      <c r="E4" s="415">
        <f>$D$10*E3</f>
        <v>7000</v>
      </c>
      <c r="F4" s="415">
        <f t="shared" ref="F4:H4" si="0">$D$10*F3</f>
        <v>70000</v>
      </c>
      <c r="G4" s="415">
        <f t="shared" si="0"/>
        <v>350000</v>
      </c>
      <c r="H4" s="415">
        <f t="shared" si="0"/>
        <v>700000</v>
      </c>
      <c r="I4" s="39"/>
      <c r="J4" s="39"/>
      <c r="K4" s="39"/>
      <c r="L4" s="39"/>
      <c r="M4" s="39"/>
      <c r="N4" s="39"/>
      <c r="O4" s="39"/>
      <c r="P4" s="11"/>
      <c r="Q4" s="11"/>
      <c r="R4" s="11"/>
    </row>
    <row r="5" spans="1:18" x14ac:dyDescent="0.35">
      <c r="D5" s="35"/>
      <c r="E5" s="39"/>
      <c r="F5" s="39"/>
      <c r="G5" s="39"/>
      <c r="H5" s="39"/>
      <c r="I5" s="39"/>
      <c r="J5" s="39"/>
      <c r="K5" s="39"/>
      <c r="L5" s="39"/>
      <c r="M5" s="39"/>
      <c r="N5" s="39"/>
      <c r="O5" s="39"/>
      <c r="P5" s="11"/>
      <c r="Q5" s="11"/>
      <c r="R5" s="11"/>
    </row>
    <row r="6" spans="1:18" ht="18" customHeight="1" x14ac:dyDescent="0.35">
      <c r="A6" s="457" t="s">
        <v>425</v>
      </c>
      <c r="D6" s="649" t="s">
        <v>426</v>
      </c>
      <c r="G6" s="39"/>
      <c r="H6" s="39"/>
      <c r="I6" s="39"/>
      <c r="J6" s="39"/>
      <c r="K6" s="39"/>
      <c r="L6" s="39"/>
      <c r="M6" s="39"/>
      <c r="N6" s="39"/>
      <c r="O6" s="39"/>
      <c r="P6" s="11"/>
      <c r="Q6" s="11"/>
      <c r="R6" s="11"/>
    </row>
    <row r="7" spans="1:18" x14ac:dyDescent="0.35">
      <c r="A7" s="299"/>
      <c r="B7" t="s">
        <v>478</v>
      </c>
      <c r="D7" s="646">
        <v>6000</v>
      </c>
      <c r="G7" s="39"/>
      <c r="H7" s="39"/>
      <c r="I7" s="39"/>
      <c r="J7" s="39"/>
      <c r="K7" s="39"/>
      <c r="L7" s="39"/>
      <c r="M7" s="39"/>
      <c r="N7" s="39"/>
      <c r="O7" s="39"/>
      <c r="P7" s="11"/>
      <c r="Q7" s="11"/>
      <c r="R7" s="11"/>
    </row>
    <row r="8" spans="1:18" x14ac:dyDescent="0.35">
      <c r="B8" t="s">
        <v>17</v>
      </c>
      <c r="C8" s="226"/>
      <c r="D8" s="227">
        <v>1000</v>
      </c>
    </row>
    <row r="9" spans="1:18" s="516" customFormat="1" x14ac:dyDescent="0.35">
      <c r="C9" s="226"/>
      <c r="D9" s="227"/>
    </row>
    <row r="10" spans="1:18" s="516" customFormat="1" x14ac:dyDescent="0.35">
      <c r="B10" s="305" t="s">
        <v>70</v>
      </c>
      <c r="C10" s="647"/>
      <c r="D10" s="648">
        <f>SUM(D7:D9)</f>
        <v>7000</v>
      </c>
    </row>
    <row r="11" spans="1:18" x14ac:dyDescent="0.35">
      <c r="C11" s="226"/>
      <c r="D11" s="227"/>
    </row>
    <row r="12" spans="1:18" s="277" customFormat="1" x14ac:dyDescent="0.35">
      <c r="A12" s="205" t="s">
        <v>131</v>
      </c>
    </row>
    <row r="13" spans="1:18" s="277" customFormat="1" x14ac:dyDescent="0.35">
      <c r="A13" s="277">
        <v>2.6</v>
      </c>
      <c r="B13" s="277" t="s">
        <v>457</v>
      </c>
    </row>
    <row r="14" spans="1:18" s="277" customFormat="1" x14ac:dyDescent="0.35"/>
    <row r="15" spans="1:18" s="277" customFormat="1" x14ac:dyDescent="0.35"/>
    <row r="16" spans="1:18" s="277" customFormat="1" x14ac:dyDescent="0.35">
      <c r="A16" s="205" t="s">
        <v>215</v>
      </c>
    </row>
    <row r="17" spans="1:2" s="277" customFormat="1" x14ac:dyDescent="0.35">
      <c r="A17" s="277">
        <v>2.6</v>
      </c>
      <c r="B17" s="277" t="s">
        <v>296</v>
      </c>
    </row>
    <row r="18" spans="1:2" s="277" customFormat="1" x14ac:dyDescent="0.35"/>
  </sheetData>
  <dataValidations count="2">
    <dataValidation type="custom" showInputMessage="1" sqref="D6 C8:C11">
      <formula1>IF(#REF!="Defaults",#REF!,VALUE(#REF!))</formula1>
    </dataValidation>
    <dataValidation type="custom" showInputMessage="1" sqref="D6">
      <formula1>IF(#REF!="Defaults",#REF!,VALUE(#REF!))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17"/>
  <sheetViews>
    <sheetView zoomScale="70" zoomScaleNormal="70" zoomScalePageLayoutView="125" workbookViewId="0">
      <selection activeCell="C272" sqref="C272"/>
    </sheetView>
  </sheetViews>
  <sheetFormatPr defaultColWidth="8.81640625" defaultRowHeight="14.5" outlineLevelRow="5" x14ac:dyDescent="0.35"/>
  <cols>
    <col min="1" max="1" width="10.26953125" style="753" customWidth="1"/>
    <col min="2" max="2" width="9.1796875" style="753" customWidth="1"/>
    <col min="3" max="3" width="50.54296875" style="754" customWidth="1"/>
    <col min="4" max="4" width="21.7265625" style="713" customWidth="1"/>
    <col min="5" max="5" width="52.26953125" style="713" customWidth="1"/>
    <col min="6" max="6" width="10" style="713" customWidth="1"/>
    <col min="7" max="7" width="10.453125" style="713" customWidth="1"/>
    <col min="8" max="16384" width="8.81640625" style="713"/>
  </cols>
  <sheetData>
    <row r="1" spans="1:7" ht="22" customHeight="1" thickBot="1" x14ac:dyDescent="0.4">
      <c r="A1" s="710"/>
      <c r="B1" s="711" t="s">
        <v>483</v>
      </c>
      <c r="C1" s="712"/>
      <c r="D1" s="712"/>
      <c r="E1" s="712"/>
    </row>
    <row r="2" spans="1:7" ht="49" customHeight="1" thickBot="1" x14ac:dyDescent="0.4">
      <c r="A2" s="714" t="s">
        <v>484</v>
      </c>
      <c r="B2" s="715"/>
      <c r="C2" s="716"/>
      <c r="D2" s="716"/>
      <c r="E2" s="716"/>
    </row>
    <row r="3" spans="1:7" ht="74.150000000000006" customHeight="1" thickBot="1" x14ac:dyDescent="0.4">
      <c r="A3" s="784" t="s">
        <v>485</v>
      </c>
      <c r="B3" s="785"/>
      <c r="C3" s="785"/>
      <c r="D3" s="785"/>
      <c r="E3" s="786"/>
    </row>
    <row r="4" spans="1:7" ht="18" customHeight="1" x14ac:dyDescent="0.35">
      <c r="A4" s="717"/>
      <c r="B4" s="787" t="s">
        <v>486</v>
      </c>
      <c r="C4" s="787"/>
      <c r="D4" s="787"/>
      <c r="E4" s="787"/>
    </row>
    <row r="5" spans="1:7" s="719" customFormat="1" x14ac:dyDescent="0.35">
      <c r="A5" s="657"/>
      <c r="B5" s="703"/>
      <c r="C5" s="657"/>
      <c r="D5" s="657"/>
      <c r="E5" s="718"/>
      <c r="F5" s="718"/>
      <c r="G5" s="657"/>
    </row>
    <row r="6" spans="1:7" s="719" customFormat="1" x14ac:dyDescent="0.35">
      <c r="A6" s="788" t="s">
        <v>487</v>
      </c>
      <c r="B6" s="788"/>
      <c r="C6" s="788"/>
      <c r="D6" s="788"/>
      <c r="E6" s="788"/>
      <c r="F6" s="720"/>
      <c r="G6" s="720"/>
    </row>
    <row r="7" spans="1:7" s="719" customFormat="1" ht="15" thickBot="1" x14ac:dyDescent="0.4">
      <c r="A7" s="721" t="s">
        <v>488</v>
      </c>
      <c r="B7" s="721" t="s">
        <v>489</v>
      </c>
      <c r="C7" s="721" t="s">
        <v>101</v>
      </c>
      <c r="D7" s="721"/>
      <c r="E7" s="721" t="s">
        <v>490</v>
      </c>
      <c r="F7" s="695"/>
      <c r="G7" s="722"/>
    </row>
    <row r="8" spans="1:7" s="719" customFormat="1" ht="43.5" x14ac:dyDescent="0.35">
      <c r="A8" s="408">
        <v>1</v>
      </c>
      <c r="B8" s="723">
        <v>1</v>
      </c>
      <c r="C8" s="724" t="s">
        <v>491</v>
      </c>
      <c r="D8" s="755">
        <f>D9+D58+D260</f>
        <v>5696.6387671916718</v>
      </c>
      <c r="E8" s="724" t="s">
        <v>492</v>
      </c>
    </row>
    <row r="9" spans="1:7" s="719" customFormat="1" ht="29" outlineLevel="1" x14ac:dyDescent="0.35">
      <c r="A9" s="408">
        <v>1.1000000000000001</v>
      </c>
      <c r="B9" s="723">
        <v>2</v>
      </c>
      <c r="C9" s="724" t="s">
        <v>493</v>
      </c>
      <c r="D9" s="755">
        <f>SUM(D10:D25)</f>
        <v>3874.5055021726948</v>
      </c>
      <c r="E9" s="724" t="s">
        <v>494</v>
      </c>
    </row>
    <row r="10" spans="1:7" s="719" customFormat="1" ht="29" outlineLevel="2" collapsed="1" x14ac:dyDescent="0.35">
      <c r="A10" s="713" t="s">
        <v>2</v>
      </c>
      <c r="B10" s="723">
        <v>3</v>
      </c>
      <c r="C10" s="724" t="s">
        <v>495</v>
      </c>
      <c r="D10" s="755">
        <f>'CBS ($ per kW)'!P26</f>
        <v>2768.3025664513766</v>
      </c>
      <c r="E10" s="724" t="s">
        <v>496</v>
      </c>
    </row>
    <row r="11" spans="1:7" s="719" customFormat="1" hidden="1" outlineLevel="3" x14ac:dyDescent="0.35">
      <c r="A11" s="713" t="s">
        <v>89</v>
      </c>
      <c r="B11" s="723">
        <v>4</v>
      </c>
      <c r="C11" s="724" t="s">
        <v>497</v>
      </c>
      <c r="D11" s="724"/>
      <c r="E11" s="724" t="s">
        <v>498</v>
      </c>
    </row>
    <row r="12" spans="1:7" s="725" customFormat="1" ht="29" hidden="1" outlineLevel="3" x14ac:dyDescent="0.35">
      <c r="A12" s="713" t="s">
        <v>90</v>
      </c>
      <c r="B12" s="723">
        <v>4</v>
      </c>
      <c r="C12" s="724" t="s">
        <v>499</v>
      </c>
      <c r="D12" s="724"/>
      <c r="E12" s="724" t="s">
        <v>500</v>
      </c>
    </row>
    <row r="13" spans="1:7" s="719" customFormat="1" ht="29" hidden="1" outlineLevel="3" collapsed="1" x14ac:dyDescent="0.35">
      <c r="A13" s="713" t="s">
        <v>91</v>
      </c>
      <c r="B13" s="723">
        <v>4</v>
      </c>
      <c r="C13" s="724" t="s">
        <v>501</v>
      </c>
      <c r="D13" s="724"/>
      <c r="E13" s="724" t="s">
        <v>502</v>
      </c>
    </row>
    <row r="14" spans="1:7" s="719" customFormat="1" ht="29" hidden="1" outlineLevel="4" x14ac:dyDescent="0.35">
      <c r="A14" s="713" t="s">
        <v>503</v>
      </c>
      <c r="B14" s="723">
        <v>5</v>
      </c>
      <c r="C14" s="724" t="s">
        <v>504</v>
      </c>
      <c r="D14" s="724"/>
      <c r="E14" s="726" t="s">
        <v>505</v>
      </c>
    </row>
    <row r="15" spans="1:7" ht="29" hidden="1" outlineLevel="4" x14ac:dyDescent="0.35">
      <c r="A15" s="713" t="s">
        <v>506</v>
      </c>
      <c r="B15" s="723">
        <v>5</v>
      </c>
      <c r="C15" s="724" t="s">
        <v>507</v>
      </c>
      <c r="D15" s="724"/>
      <c r="E15" s="726" t="s">
        <v>508</v>
      </c>
    </row>
    <row r="16" spans="1:7" ht="29" hidden="1" outlineLevel="4" x14ac:dyDescent="0.35">
      <c r="A16" s="713" t="s">
        <v>509</v>
      </c>
      <c r="B16" s="723">
        <v>5</v>
      </c>
      <c r="C16" s="724" t="s">
        <v>510</v>
      </c>
      <c r="D16" s="724"/>
      <c r="E16" s="726" t="s">
        <v>511</v>
      </c>
    </row>
    <row r="17" spans="1:5" ht="58" hidden="1" outlineLevel="3" collapsed="1" x14ac:dyDescent="0.35">
      <c r="A17" s="713" t="s">
        <v>92</v>
      </c>
      <c r="B17" s="723">
        <v>4</v>
      </c>
      <c r="C17" s="724" t="s">
        <v>512</v>
      </c>
      <c r="D17" s="724"/>
      <c r="E17" s="724" t="s">
        <v>513</v>
      </c>
    </row>
    <row r="18" spans="1:5" ht="29" hidden="1" outlineLevel="4" x14ac:dyDescent="0.35">
      <c r="A18" s="727" t="s">
        <v>514</v>
      </c>
      <c r="B18" s="728">
        <v>5</v>
      </c>
      <c r="C18" s="726" t="s">
        <v>515</v>
      </c>
      <c r="D18" s="726"/>
      <c r="E18" s="726" t="s">
        <v>516</v>
      </c>
    </row>
    <row r="19" spans="1:5" ht="43.5" hidden="1" outlineLevel="4" x14ac:dyDescent="0.35">
      <c r="A19" s="727" t="s">
        <v>517</v>
      </c>
      <c r="B19" s="728">
        <v>5</v>
      </c>
      <c r="C19" s="726" t="s">
        <v>518</v>
      </c>
      <c r="D19" s="726"/>
      <c r="E19" s="726" t="s">
        <v>519</v>
      </c>
    </row>
    <row r="20" spans="1:5" ht="29" hidden="1" outlineLevel="4" x14ac:dyDescent="0.35">
      <c r="A20" s="727" t="s">
        <v>520</v>
      </c>
      <c r="B20" s="728">
        <v>5</v>
      </c>
      <c r="C20" s="726" t="s">
        <v>521</v>
      </c>
      <c r="D20" s="726"/>
      <c r="E20" s="726" t="s">
        <v>522</v>
      </c>
    </row>
    <row r="21" spans="1:5" hidden="1" outlineLevel="4" x14ac:dyDescent="0.35">
      <c r="A21" s="727" t="s">
        <v>523</v>
      </c>
      <c r="B21" s="728">
        <v>5</v>
      </c>
      <c r="C21" s="726" t="s">
        <v>524</v>
      </c>
      <c r="D21" s="726"/>
      <c r="E21" s="726" t="s">
        <v>525</v>
      </c>
    </row>
    <row r="22" spans="1:5" ht="43.5" hidden="1" outlineLevel="4" x14ac:dyDescent="0.35">
      <c r="A22" s="727" t="s">
        <v>526</v>
      </c>
      <c r="B22" s="728">
        <v>5</v>
      </c>
      <c r="C22" s="726" t="s">
        <v>527</v>
      </c>
      <c r="D22" s="726"/>
      <c r="E22" s="726" t="s">
        <v>528</v>
      </c>
    </row>
    <row r="23" spans="1:5" hidden="1" outlineLevel="3" x14ac:dyDescent="0.35">
      <c r="A23" s="713" t="s">
        <v>529</v>
      </c>
      <c r="B23" s="723">
        <v>4</v>
      </c>
      <c r="C23" s="724" t="s">
        <v>530</v>
      </c>
      <c r="D23" s="724"/>
      <c r="E23" s="724" t="s">
        <v>531</v>
      </c>
    </row>
    <row r="24" spans="1:5" ht="43.5" hidden="1" outlineLevel="3" x14ac:dyDescent="0.35">
      <c r="A24" s="713" t="s">
        <v>532</v>
      </c>
      <c r="B24" s="723">
        <v>4</v>
      </c>
      <c r="C24" s="724" t="s">
        <v>533</v>
      </c>
      <c r="D24" s="724"/>
      <c r="E24" s="724" t="s">
        <v>534</v>
      </c>
    </row>
    <row r="25" spans="1:5" ht="58" outlineLevel="2" collapsed="1" x14ac:dyDescent="0.35">
      <c r="A25" s="713" t="s">
        <v>4</v>
      </c>
      <c r="B25" s="723">
        <v>3</v>
      </c>
      <c r="C25" s="724" t="s">
        <v>535</v>
      </c>
      <c r="D25" s="755">
        <f>'CBS ($ per kW)'!P29-'CBS ($ per kW)'!P35+'CBS ($ per kW)'!P37</f>
        <v>1106.202935721318</v>
      </c>
      <c r="E25" s="724" t="s">
        <v>536</v>
      </c>
    </row>
    <row r="26" spans="1:5" hidden="1" outlineLevel="3" x14ac:dyDescent="0.35">
      <c r="A26" s="713" t="s">
        <v>537</v>
      </c>
      <c r="B26" s="723">
        <v>4</v>
      </c>
      <c r="C26" s="724" t="s">
        <v>538</v>
      </c>
      <c r="D26" s="724"/>
      <c r="E26" s="724" t="s">
        <v>539</v>
      </c>
    </row>
    <row r="27" spans="1:5" ht="29" hidden="1" outlineLevel="3" x14ac:dyDescent="0.35">
      <c r="A27" s="713" t="s">
        <v>540</v>
      </c>
      <c r="B27" s="723">
        <v>4</v>
      </c>
      <c r="C27" s="724" t="s">
        <v>541</v>
      </c>
      <c r="D27" s="724"/>
      <c r="E27" s="724" t="s">
        <v>542</v>
      </c>
    </row>
    <row r="28" spans="1:5" ht="43.5" hidden="1" outlineLevel="4" collapsed="1" x14ac:dyDescent="0.35">
      <c r="A28" s="713" t="s">
        <v>543</v>
      </c>
      <c r="B28" s="728">
        <v>5</v>
      </c>
      <c r="C28" s="726" t="s">
        <v>544</v>
      </c>
      <c r="D28" s="726"/>
      <c r="E28" s="726" t="s">
        <v>545</v>
      </c>
    </row>
    <row r="29" spans="1:5" ht="29" hidden="1" outlineLevel="5" x14ac:dyDescent="0.35">
      <c r="A29" s="727" t="s">
        <v>546</v>
      </c>
      <c r="B29" s="728">
        <v>6</v>
      </c>
      <c r="C29" s="729" t="s">
        <v>547</v>
      </c>
      <c r="D29" s="729"/>
      <c r="E29" s="730" t="s">
        <v>548</v>
      </c>
    </row>
    <row r="30" spans="1:5" hidden="1" outlineLevel="5" x14ac:dyDescent="0.35">
      <c r="A30" s="727" t="s">
        <v>549</v>
      </c>
      <c r="B30" s="728">
        <v>6</v>
      </c>
      <c r="C30" s="729" t="s">
        <v>550</v>
      </c>
      <c r="D30" s="729"/>
      <c r="E30" s="730" t="s">
        <v>551</v>
      </c>
    </row>
    <row r="31" spans="1:5" hidden="1" outlineLevel="5" x14ac:dyDescent="0.35">
      <c r="A31" s="727" t="s">
        <v>552</v>
      </c>
      <c r="B31" s="728">
        <v>6</v>
      </c>
      <c r="C31" s="729" t="s">
        <v>553</v>
      </c>
      <c r="D31" s="729"/>
      <c r="E31" s="730" t="s">
        <v>554</v>
      </c>
    </row>
    <row r="32" spans="1:5" ht="29" hidden="1" outlineLevel="5" x14ac:dyDescent="0.35">
      <c r="A32" s="727" t="s">
        <v>555</v>
      </c>
      <c r="B32" s="728">
        <v>6</v>
      </c>
      <c r="C32" s="729" t="s">
        <v>556</v>
      </c>
      <c r="D32" s="729"/>
      <c r="E32" s="730" t="s">
        <v>557</v>
      </c>
    </row>
    <row r="33" spans="1:5" ht="29" hidden="1" outlineLevel="5" x14ac:dyDescent="0.35">
      <c r="A33" s="727" t="s">
        <v>558</v>
      </c>
      <c r="B33" s="728">
        <v>6</v>
      </c>
      <c r="C33" s="729" t="s">
        <v>559</v>
      </c>
      <c r="D33" s="729"/>
      <c r="E33" s="730" t="s">
        <v>560</v>
      </c>
    </row>
    <row r="34" spans="1:5" hidden="1" outlineLevel="5" x14ac:dyDescent="0.35">
      <c r="A34" s="727" t="s">
        <v>561</v>
      </c>
      <c r="B34" s="728">
        <v>6</v>
      </c>
      <c r="C34" s="729" t="s">
        <v>562</v>
      </c>
      <c r="D34" s="729"/>
      <c r="E34" s="730" t="s">
        <v>563</v>
      </c>
    </row>
    <row r="35" spans="1:5" ht="29" hidden="1" outlineLevel="3" x14ac:dyDescent="0.35">
      <c r="A35" s="713" t="s">
        <v>564</v>
      </c>
      <c r="B35" s="723">
        <v>4</v>
      </c>
      <c r="C35" s="724" t="s">
        <v>565</v>
      </c>
      <c r="D35" s="724"/>
      <c r="E35" s="724" t="s">
        <v>566</v>
      </c>
    </row>
    <row r="36" spans="1:5" hidden="1" outlineLevel="4" x14ac:dyDescent="0.35">
      <c r="A36" s="713" t="s">
        <v>567</v>
      </c>
      <c r="B36" s="728">
        <v>5</v>
      </c>
      <c r="C36" s="726" t="s">
        <v>568</v>
      </c>
      <c r="D36" s="726"/>
      <c r="E36" s="726" t="s">
        <v>569</v>
      </c>
    </row>
    <row r="37" spans="1:5" hidden="1" outlineLevel="4" x14ac:dyDescent="0.35">
      <c r="A37" s="713" t="s">
        <v>570</v>
      </c>
      <c r="B37" s="728">
        <v>5</v>
      </c>
      <c r="C37" s="726" t="s">
        <v>571</v>
      </c>
      <c r="D37" s="726"/>
      <c r="E37" s="726" t="s">
        <v>572</v>
      </c>
    </row>
    <row r="38" spans="1:5" hidden="1" outlineLevel="3" x14ac:dyDescent="0.35">
      <c r="A38" s="727" t="s">
        <v>573</v>
      </c>
      <c r="B38" s="723">
        <v>4</v>
      </c>
      <c r="C38" s="724" t="s">
        <v>574</v>
      </c>
      <c r="D38" s="724"/>
      <c r="E38" s="724" t="s">
        <v>575</v>
      </c>
    </row>
    <row r="39" spans="1:5" hidden="1" outlineLevel="4" x14ac:dyDescent="0.35">
      <c r="A39" s="713" t="s">
        <v>576</v>
      </c>
      <c r="B39" s="728">
        <v>5</v>
      </c>
      <c r="C39" s="726" t="s">
        <v>577</v>
      </c>
      <c r="D39" s="726"/>
      <c r="E39" s="726" t="s">
        <v>578</v>
      </c>
    </row>
    <row r="40" spans="1:5" hidden="1" outlineLevel="5" x14ac:dyDescent="0.35">
      <c r="A40" s="727" t="s">
        <v>579</v>
      </c>
      <c r="B40" s="728">
        <v>6</v>
      </c>
      <c r="C40" s="729" t="s">
        <v>562</v>
      </c>
      <c r="D40" s="729"/>
      <c r="E40" s="730" t="s">
        <v>580</v>
      </c>
    </row>
    <row r="41" spans="1:5" hidden="1" outlineLevel="5" x14ac:dyDescent="0.35">
      <c r="A41" s="727" t="s">
        <v>581</v>
      </c>
      <c r="B41" s="728">
        <v>6</v>
      </c>
      <c r="C41" s="729" t="s">
        <v>582</v>
      </c>
      <c r="D41" s="729"/>
      <c r="E41" s="730" t="s">
        <v>583</v>
      </c>
    </row>
    <row r="42" spans="1:5" ht="29" hidden="1" outlineLevel="5" x14ac:dyDescent="0.35">
      <c r="A42" s="727" t="s">
        <v>584</v>
      </c>
      <c r="B42" s="728">
        <v>6</v>
      </c>
      <c r="C42" s="729" t="s">
        <v>585</v>
      </c>
      <c r="D42" s="729"/>
      <c r="E42" s="730" t="s">
        <v>586</v>
      </c>
    </row>
    <row r="43" spans="1:5" hidden="1" outlineLevel="5" x14ac:dyDescent="0.35">
      <c r="A43" s="727" t="s">
        <v>587</v>
      </c>
      <c r="B43" s="728">
        <v>6</v>
      </c>
      <c r="C43" s="729" t="s">
        <v>556</v>
      </c>
      <c r="D43" s="729"/>
      <c r="E43" s="730" t="s">
        <v>588</v>
      </c>
    </row>
    <row r="44" spans="1:5" hidden="1" outlineLevel="5" x14ac:dyDescent="0.35">
      <c r="A44" s="727" t="s">
        <v>589</v>
      </c>
      <c r="B44" s="728">
        <v>6</v>
      </c>
      <c r="C44" s="729" t="s">
        <v>590</v>
      </c>
      <c r="D44" s="729"/>
      <c r="E44" s="730" t="s">
        <v>591</v>
      </c>
    </row>
    <row r="45" spans="1:5" hidden="1" outlineLevel="5" x14ac:dyDescent="0.35">
      <c r="A45" s="727" t="s">
        <v>592</v>
      </c>
      <c r="B45" s="728">
        <v>6</v>
      </c>
      <c r="C45" s="729" t="s">
        <v>593</v>
      </c>
      <c r="D45" s="729"/>
      <c r="E45" s="730" t="s">
        <v>594</v>
      </c>
    </row>
    <row r="46" spans="1:5" ht="43.5" hidden="1" outlineLevel="3" x14ac:dyDescent="0.35">
      <c r="A46" s="727" t="s">
        <v>595</v>
      </c>
      <c r="B46" s="723">
        <v>4</v>
      </c>
      <c r="C46" s="724" t="s">
        <v>596</v>
      </c>
      <c r="D46" s="724"/>
      <c r="E46" s="724" t="s">
        <v>597</v>
      </c>
    </row>
    <row r="47" spans="1:5" ht="58" hidden="1" outlineLevel="4" x14ac:dyDescent="0.35">
      <c r="A47" s="727" t="s">
        <v>598</v>
      </c>
      <c r="B47" s="728">
        <v>5</v>
      </c>
      <c r="C47" s="726" t="s">
        <v>599</v>
      </c>
      <c r="D47" s="726"/>
      <c r="E47" s="726" t="s">
        <v>600</v>
      </c>
    </row>
    <row r="48" spans="1:5" ht="58" hidden="1" outlineLevel="4" x14ac:dyDescent="0.35">
      <c r="A48" s="727" t="s">
        <v>601</v>
      </c>
      <c r="B48" s="728">
        <v>5</v>
      </c>
      <c r="C48" s="726" t="s">
        <v>602</v>
      </c>
      <c r="D48" s="726"/>
      <c r="E48" s="726" t="s">
        <v>603</v>
      </c>
    </row>
    <row r="49" spans="1:5" ht="29" hidden="1" outlineLevel="4" x14ac:dyDescent="0.35">
      <c r="A49" s="727" t="s">
        <v>604</v>
      </c>
      <c r="B49" s="728">
        <v>5</v>
      </c>
      <c r="C49" s="726" t="s">
        <v>605</v>
      </c>
      <c r="D49" s="726"/>
      <c r="E49" s="726" t="s">
        <v>606</v>
      </c>
    </row>
    <row r="50" spans="1:5" hidden="1" outlineLevel="3" x14ac:dyDescent="0.35">
      <c r="A50" s="713" t="s">
        <v>607</v>
      </c>
      <c r="B50" s="723">
        <v>4</v>
      </c>
      <c r="C50" s="724" t="s">
        <v>608</v>
      </c>
      <c r="D50" s="724"/>
      <c r="E50" s="724" t="s">
        <v>609</v>
      </c>
    </row>
    <row r="51" spans="1:5" ht="29" hidden="1" outlineLevel="3" x14ac:dyDescent="0.35">
      <c r="A51" s="713" t="s">
        <v>610</v>
      </c>
      <c r="B51" s="723">
        <v>4</v>
      </c>
      <c r="C51" s="724" t="s">
        <v>611</v>
      </c>
      <c r="D51" s="724"/>
      <c r="E51" s="724" t="s">
        <v>612</v>
      </c>
    </row>
    <row r="52" spans="1:5" ht="72.5" hidden="1" outlineLevel="4" x14ac:dyDescent="0.35">
      <c r="A52" s="727" t="s">
        <v>613</v>
      </c>
      <c r="B52" s="728">
        <v>5</v>
      </c>
      <c r="C52" s="726" t="s">
        <v>614</v>
      </c>
      <c r="D52" s="726"/>
      <c r="E52" s="726" t="s">
        <v>615</v>
      </c>
    </row>
    <row r="53" spans="1:5" hidden="1" outlineLevel="4" x14ac:dyDescent="0.35">
      <c r="A53" s="727" t="s">
        <v>616</v>
      </c>
      <c r="B53" s="728">
        <v>5</v>
      </c>
      <c r="C53" s="726" t="s">
        <v>617</v>
      </c>
      <c r="D53" s="726"/>
      <c r="E53" s="726" t="s">
        <v>618</v>
      </c>
    </row>
    <row r="54" spans="1:5" ht="29" hidden="1" outlineLevel="4" x14ac:dyDescent="0.35">
      <c r="A54" s="727" t="s">
        <v>619</v>
      </c>
      <c r="B54" s="728">
        <v>5</v>
      </c>
      <c r="C54" s="726" t="s">
        <v>620</v>
      </c>
      <c r="D54" s="726"/>
      <c r="E54" s="726" t="s">
        <v>621</v>
      </c>
    </row>
    <row r="55" spans="1:5" hidden="1" outlineLevel="4" x14ac:dyDescent="0.35">
      <c r="A55" s="727" t="s">
        <v>622</v>
      </c>
      <c r="B55" s="728">
        <v>5</v>
      </c>
      <c r="C55" s="726" t="s">
        <v>623</v>
      </c>
      <c r="D55" s="726"/>
      <c r="E55" s="726" t="s">
        <v>624</v>
      </c>
    </row>
    <row r="56" spans="1:5" hidden="1" outlineLevel="3" x14ac:dyDescent="0.35">
      <c r="A56" s="713" t="s">
        <v>625</v>
      </c>
      <c r="B56" s="723">
        <v>4</v>
      </c>
      <c r="C56" s="724" t="s">
        <v>626</v>
      </c>
      <c r="D56" s="724"/>
      <c r="E56" s="724" t="s">
        <v>531</v>
      </c>
    </row>
    <row r="57" spans="1:5" ht="43.5" hidden="1" outlineLevel="3" x14ac:dyDescent="0.35">
      <c r="A57" s="713" t="s">
        <v>627</v>
      </c>
      <c r="B57" s="723">
        <v>4</v>
      </c>
      <c r="C57" s="724" t="s">
        <v>628</v>
      </c>
      <c r="D57" s="724"/>
      <c r="E57" s="724" t="s">
        <v>629</v>
      </c>
    </row>
    <row r="58" spans="1:5" ht="43.5" outlineLevel="1" x14ac:dyDescent="0.35">
      <c r="A58" s="408">
        <v>1.2</v>
      </c>
      <c r="B58" s="723">
        <v>2</v>
      </c>
      <c r="C58" s="724" t="s">
        <v>630</v>
      </c>
      <c r="D58" s="755">
        <f>SUM(D59:D233)</f>
        <v>1304.2570134560974</v>
      </c>
      <c r="E58" s="724" t="s">
        <v>631</v>
      </c>
    </row>
    <row r="59" spans="1:5" ht="58" outlineLevel="2" collapsed="1" x14ac:dyDescent="0.35">
      <c r="A59" s="695" t="s">
        <v>9</v>
      </c>
      <c r="B59" s="723">
        <v>3</v>
      </c>
      <c r="C59" s="724" t="s">
        <v>632</v>
      </c>
      <c r="D59" s="755">
        <f>'CBS ($ per kW)'!P6-'CBS ($ per kW)'!P13</f>
        <v>74.607765306122445</v>
      </c>
      <c r="E59" s="724" t="s">
        <v>633</v>
      </c>
    </row>
    <row r="60" spans="1:5" ht="29" hidden="1" outlineLevel="3" x14ac:dyDescent="0.35">
      <c r="A60" s="695" t="s">
        <v>634</v>
      </c>
      <c r="B60" s="723">
        <v>4</v>
      </c>
      <c r="C60" s="724" t="s">
        <v>635</v>
      </c>
      <c r="D60" s="724"/>
      <c r="E60" s="724" t="s">
        <v>636</v>
      </c>
    </row>
    <row r="61" spans="1:5" ht="29" hidden="1" outlineLevel="4" x14ac:dyDescent="0.35">
      <c r="A61" s="695" t="s">
        <v>637</v>
      </c>
      <c r="B61" s="728">
        <v>5</v>
      </c>
      <c r="C61" s="726" t="s">
        <v>638</v>
      </c>
      <c r="D61" s="726"/>
      <c r="E61" s="726" t="s">
        <v>639</v>
      </c>
    </row>
    <row r="62" spans="1:5" ht="29" hidden="1" outlineLevel="4" x14ac:dyDescent="0.35">
      <c r="A62" s="695" t="s">
        <v>640</v>
      </c>
      <c r="B62" s="728">
        <v>5</v>
      </c>
      <c r="C62" s="726" t="s">
        <v>641</v>
      </c>
      <c r="D62" s="726"/>
      <c r="E62" s="726" t="s">
        <v>642</v>
      </c>
    </row>
    <row r="63" spans="1:5" ht="29" hidden="1" outlineLevel="4" x14ac:dyDescent="0.35">
      <c r="A63" s="695" t="s">
        <v>643</v>
      </c>
      <c r="B63" s="728">
        <v>5</v>
      </c>
      <c r="C63" s="726" t="s">
        <v>644</v>
      </c>
      <c r="D63" s="726"/>
      <c r="E63" s="726" t="s">
        <v>645</v>
      </c>
    </row>
    <row r="64" spans="1:5" ht="29" hidden="1" outlineLevel="3" x14ac:dyDescent="0.35">
      <c r="A64" s="695" t="s">
        <v>646</v>
      </c>
      <c r="B64" s="723">
        <v>4</v>
      </c>
      <c r="C64" s="724" t="s">
        <v>647</v>
      </c>
      <c r="D64" s="724"/>
      <c r="E64" s="724" t="s">
        <v>648</v>
      </c>
    </row>
    <row r="65" spans="1:5" ht="43.5" hidden="1" outlineLevel="3" x14ac:dyDescent="0.35">
      <c r="A65" s="695" t="s">
        <v>649</v>
      </c>
      <c r="B65" s="723">
        <v>4</v>
      </c>
      <c r="C65" s="724" t="s">
        <v>650</v>
      </c>
      <c r="D65" s="724"/>
      <c r="E65" s="724" t="s">
        <v>651</v>
      </c>
    </row>
    <row r="66" spans="1:5" ht="43.5" hidden="1" outlineLevel="4" x14ac:dyDescent="0.35">
      <c r="A66" s="731" t="s">
        <v>652</v>
      </c>
      <c r="B66" s="728">
        <v>5</v>
      </c>
      <c r="C66" s="726" t="s">
        <v>653</v>
      </c>
      <c r="D66" s="726"/>
      <c r="E66" s="726" t="s">
        <v>654</v>
      </c>
    </row>
    <row r="67" spans="1:5" ht="87" hidden="1" outlineLevel="4" x14ac:dyDescent="0.35">
      <c r="A67" s="731" t="s">
        <v>655</v>
      </c>
      <c r="B67" s="728">
        <v>5</v>
      </c>
      <c r="C67" s="726" t="s">
        <v>656</v>
      </c>
      <c r="D67" s="726"/>
      <c r="E67" s="726" t="s">
        <v>657</v>
      </c>
    </row>
    <row r="68" spans="1:5" ht="43.5" hidden="1" outlineLevel="4" x14ac:dyDescent="0.35">
      <c r="A68" s="731" t="s">
        <v>658</v>
      </c>
      <c r="B68" s="728">
        <v>5</v>
      </c>
      <c r="C68" s="726" t="s">
        <v>659</v>
      </c>
      <c r="D68" s="726"/>
      <c r="E68" s="726" t="s">
        <v>660</v>
      </c>
    </row>
    <row r="69" spans="1:5" ht="58" hidden="1" outlineLevel="3" x14ac:dyDescent="0.35">
      <c r="A69" s="695" t="s">
        <v>661</v>
      </c>
      <c r="B69" s="723">
        <v>4</v>
      </c>
      <c r="C69" s="724" t="s">
        <v>662</v>
      </c>
      <c r="D69" s="724"/>
      <c r="E69" s="724" t="s">
        <v>663</v>
      </c>
    </row>
    <row r="70" spans="1:5" ht="43.5" hidden="1" outlineLevel="4" x14ac:dyDescent="0.35">
      <c r="A70" s="695" t="s">
        <v>664</v>
      </c>
      <c r="B70" s="728">
        <v>5</v>
      </c>
      <c r="C70" s="726" t="s">
        <v>665</v>
      </c>
      <c r="D70" s="726"/>
      <c r="E70" s="726" t="s">
        <v>666</v>
      </c>
    </row>
    <row r="71" spans="1:5" ht="29" hidden="1" outlineLevel="4" x14ac:dyDescent="0.35">
      <c r="A71" s="695" t="s">
        <v>667</v>
      </c>
      <c r="B71" s="728">
        <v>5</v>
      </c>
      <c r="C71" s="726" t="s">
        <v>668</v>
      </c>
      <c r="D71" s="726"/>
      <c r="E71" s="726" t="s">
        <v>669</v>
      </c>
    </row>
    <row r="72" spans="1:5" ht="43.5" hidden="1" outlineLevel="4" x14ac:dyDescent="0.35">
      <c r="A72" s="695" t="s">
        <v>670</v>
      </c>
      <c r="B72" s="728">
        <v>5</v>
      </c>
      <c r="C72" s="726" t="s">
        <v>671</v>
      </c>
      <c r="D72" s="726"/>
      <c r="E72" s="726" t="s">
        <v>672</v>
      </c>
    </row>
    <row r="73" spans="1:5" ht="29" hidden="1" outlineLevel="4" x14ac:dyDescent="0.35">
      <c r="A73" s="695" t="s">
        <v>673</v>
      </c>
      <c r="B73" s="728">
        <v>5</v>
      </c>
      <c r="C73" s="726" t="s">
        <v>674</v>
      </c>
      <c r="D73" s="726"/>
      <c r="E73" s="726" t="s">
        <v>675</v>
      </c>
    </row>
    <row r="74" spans="1:5" ht="58" hidden="1" outlineLevel="4" x14ac:dyDescent="0.35">
      <c r="A74" s="695" t="s">
        <v>676</v>
      </c>
      <c r="B74" s="728">
        <v>5</v>
      </c>
      <c r="C74" s="726" t="s">
        <v>677</v>
      </c>
      <c r="D74" s="726"/>
      <c r="E74" s="726" t="s">
        <v>678</v>
      </c>
    </row>
    <row r="75" spans="1:5" ht="58" hidden="1" outlineLevel="4" x14ac:dyDescent="0.35">
      <c r="A75" s="695" t="s">
        <v>679</v>
      </c>
      <c r="B75" s="728">
        <v>5</v>
      </c>
      <c r="C75" s="726" t="s">
        <v>680</v>
      </c>
      <c r="D75" s="726"/>
      <c r="E75" s="726" t="s">
        <v>681</v>
      </c>
    </row>
    <row r="76" spans="1:5" ht="29" hidden="1" outlineLevel="3" x14ac:dyDescent="0.35">
      <c r="A76" s="695" t="s">
        <v>682</v>
      </c>
      <c r="B76" s="723">
        <v>4</v>
      </c>
      <c r="C76" s="724" t="s">
        <v>683</v>
      </c>
      <c r="D76" s="724"/>
      <c r="E76" s="724" t="s">
        <v>684</v>
      </c>
    </row>
    <row r="77" spans="1:5" ht="87" hidden="1" outlineLevel="4" x14ac:dyDescent="0.35">
      <c r="A77" s="731" t="s">
        <v>685</v>
      </c>
      <c r="B77" s="728">
        <v>5</v>
      </c>
      <c r="C77" s="726" t="s">
        <v>686</v>
      </c>
      <c r="D77" s="726"/>
      <c r="E77" s="726" t="s">
        <v>687</v>
      </c>
    </row>
    <row r="78" spans="1:5" ht="58" hidden="1" outlineLevel="4" x14ac:dyDescent="0.35">
      <c r="A78" s="731" t="s">
        <v>688</v>
      </c>
      <c r="B78" s="728">
        <v>5</v>
      </c>
      <c r="C78" s="726" t="s">
        <v>689</v>
      </c>
      <c r="D78" s="726"/>
      <c r="E78" s="726" t="s">
        <v>690</v>
      </c>
    </row>
    <row r="79" spans="1:5" ht="29" hidden="1" outlineLevel="4" x14ac:dyDescent="0.35">
      <c r="A79" s="731" t="s">
        <v>691</v>
      </c>
      <c r="B79" s="728">
        <v>5</v>
      </c>
      <c r="C79" s="726" t="s">
        <v>692</v>
      </c>
      <c r="D79" s="726"/>
      <c r="E79" s="726" t="s">
        <v>693</v>
      </c>
    </row>
    <row r="80" spans="1:5" ht="29" hidden="1" outlineLevel="3" x14ac:dyDescent="0.35">
      <c r="A80" s="695" t="s">
        <v>694</v>
      </c>
      <c r="B80" s="723">
        <v>4</v>
      </c>
      <c r="C80" s="724" t="s">
        <v>695</v>
      </c>
      <c r="D80" s="724"/>
      <c r="E80" s="724" t="s">
        <v>696</v>
      </c>
    </row>
    <row r="81" spans="1:5" ht="29" hidden="1" outlineLevel="4" x14ac:dyDescent="0.35">
      <c r="A81" s="731" t="s">
        <v>697</v>
      </c>
      <c r="B81" s="728">
        <v>5</v>
      </c>
      <c r="C81" s="726" t="s">
        <v>698</v>
      </c>
      <c r="D81" s="726"/>
      <c r="E81" s="726" t="s">
        <v>699</v>
      </c>
    </row>
    <row r="82" spans="1:5" ht="58" hidden="1" outlineLevel="4" x14ac:dyDescent="0.35">
      <c r="A82" s="731" t="s">
        <v>700</v>
      </c>
      <c r="B82" s="728">
        <v>5</v>
      </c>
      <c r="C82" s="726" t="s">
        <v>701</v>
      </c>
      <c r="D82" s="726"/>
      <c r="E82" s="726" t="s">
        <v>702</v>
      </c>
    </row>
    <row r="83" spans="1:5" ht="43.5" hidden="1" outlineLevel="4" x14ac:dyDescent="0.35">
      <c r="A83" s="731" t="s">
        <v>703</v>
      </c>
      <c r="B83" s="728">
        <v>5</v>
      </c>
      <c r="C83" s="726" t="s">
        <v>704</v>
      </c>
      <c r="D83" s="726"/>
      <c r="E83" s="726" t="s">
        <v>705</v>
      </c>
    </row>
    <row r="84" spans="1:5" ht="58" hidden="1" outlineLevel="4" x14ac:dyDescent="0.35">
      <c r="A84" s="731" t="s">
        <v>706</v>
      </c>
      <c r="B84" s="728">
        <v>5</v>
      </c>
      <c r="C84" s="726" t="s">
        <v>707</v>
      </c>
      <c r="D84" s="726"/>
      <c r="E84" s="726" t="s">
        <v>708</v>
      </c>
    </row>
    <row r="85" spans="1:5" ht="60.75" hidden="1" customHeight="1" outlineLevel="3" x14ac:dyDescent="0.35">
      <c r="A85" s="695" t="s">
        <v>709</v>
      </c>
      <c r="B85" s="723">
        <v>4</v>
      </c>
      <c r="C85" s="724" t="s">
        <v>710</v>
      </c>
      <c r="D85" s="724"/>
      <c r="E85" s="724" t="s">
        <v>711</v>
      </c>
    </row>
    <row r="86" spans="1:5" ht="72.5" hidden="1" outlineLevel="4" x14ac:dyDescent="0.35">
      <c r="A86" s="731" t="s">
        <v>712</v>
      </c>
      <c r="B86" s="728">
        <v>5</v>
      </c>
      <c r="C86" s="726" t="s">
        <v>713</v>
      </c>
      <c r="D86" s="726"/>
      <c r="E86" s="726" t="s">
        <v>714</v>
      </c>
    </row>
    <row r="87" spans="1:5" ht="43.5" hidden="1" outlineLevel="4" x14ac:dyDescent="0.35">
      <c r="A87" s="731" t="s">
        <v>715</v>
      </c>
      <c r="B87" s="728">
        <v>5</v>
      </c>
      <c r="C87" s="726" t="s">
        <v>716</v>
      </c>
      <c r="D87" s="726"/>
      <c r="E87" s="726" t="s">
        <v>717</v>
      </c>
    </row>
    <row r="88" spans="1:5" ht="29" hidden="1" outlineLevel="4" x14ac:dyDescent="0.35">
      <c r="A88" s="731" t="s">
        <v>718</v>
      </c>
      <c r="B88" s="728">
        <v>5</v>
      </c>
      <c r="C88" s="726" t="s">
        <v>719</v>
      </c>
      <c r="D88" s="726"/>
      <c r="E88" s="726" t="s">
        <v>720</v>
      </c>
    </row>
    <row r="89" spans="1:5" ht="29" hidden="1" outlineLevel="4" x14ac:dyDescent="0.35">
      <c r="A89" s="731" t="s">
        <v>721</v>
      </c>
      <c r="B89" s="728">
        <v>5</v>
      </c>
      <c r="C89" s="726" t="s">
        <v>722</v>
      </c>
      <c r="D89" s="726"/>
      <c r="E89" s="726" t="s">
        <v>723</v>
      </c>
    </row>
    <row r="90" spans="1:5" ht="29" outlineLevel="2" collapsed="1" x14ac:dyDescent="0.35">
      <c r="A90" s="695" t="s">
        <v>11</v>
      </c>
      <c r="B90" s="723">
        <v>3</v>
      </c>
      <c r="C90" s="724" t="s">
        <v>724</v>
      </c>
      <c r="D90" s="755">
        <f>'CBS ($ per kW)'!P13</f>
        <v>51.274876392364284</v>
      </c>
      <c r="E90" s="724" t="s">
        <v>725</v>
      </c>
    </row>
    <row r="91" spans="1:5" hidden="1" outlineLevel="3" x14ac:dyDescent="0.35">
      <c r="A91" s="695" t="s">
        <v>726</v>
      </c>
      <c r="B91" s="723">
        <v>4</v>
      </c>
      <c r="C91" s="724" t="s">
        <v>727</v>
      </c>
      <c r="D91" s="724"/>
      <c r="E91" s="724" t="s">
        <v>728</v>
      </c>
    </row>
    <row r="92" spans="1:5" ht="29" hidden="1" outlineLevel="3" x14ac:dyDescent="0.35">
      <c r="A92" s="695" t="s">
        <v>729</v>
      </c>
      <c r="B92" s="723">
        <v>4</v>
      </c>
      <c r="C92" s="724" t="s">
        <v>730</v>
      </c>
      <c r="D92" s="724"/>
      <c r="E92" s="724" t="s">
        <v>731</v>
      </c>
    </row>
    <row r="93" spans="1:5" hidden="1" outlineLevel="3" x14ac:dyDescent="0.35">
      <c r="A93" s="695" t="s">
        <v>732</v>
      </c>
      <c r="B93" s="723">
        <v>4</v>
      </c>
      <c r="C93" s="724" t="s">
        <v>733</v>
      </c>
      <c r="D93" s="724"/>
      <c r="E93" s="724" t="s">
        <v>734</v>
      </c>
    </row>
    <row r="94" spans="1:5" ht="29" hidden="1" outlineLevel="4" x14ac:dyDescent="0.35">
      <c r="A94" s="731" t="s">
        <v>735</v>
      </c>
      <c r="B94" s="728">
        <v>5</v>
      </c>
      <c r="C94" s="726" t="s">
        <v>701</v>
      </c>
      <c r="D94" s="726"/>
      <c r="E94" s="726" t="s">
        <v>736</v>
      </c>
    </row>
    <row r="95" spans="1:5" ht="43.5" hidden="1" outlineLevel="4" x14ac:dyDescent="0.35">
      <c r="A95" s="731" t="s">
        <v>737</v>
      </c>
      <c r="B95" s="728">
        <v>5</v>
      </c>
      <c r="C95" s="726" t="s">
        <v>738</v>
      </c>
      <c r="D95" s="726"/>
      <c r="E95" s="726" t="s">
        <v>739</v>
      </c>
    </row>
    <row r="96" spans="1:5" ht="29" hidden="1" outlineLevel="4" x14ac:dyDescent="0.35">
      <c r="A96" s="731" t="s">
        <v>740</v>
      </c>
      <c r="B96" s="728">
        <v>5</v>
      </c>
      <c r="C96" s="726" t="s">
        <v>741</v>
      </c>
      <c r="D96" s="726"/>
      <c r="E96" s="726" t="s">
        <v>742</v>
      </c>
    </row>
    <row r="97" spans="1:5" ht="58" hidden="1" outlineLevel="3" x14ac:dyDescent="0.35">
      <c r="A97" s="695" t="s">
        <v>743</v>
      </c>
      <c r="B97" s="723">
        <v>4</v>
      </c>
      <c r="C97" s="724" t="s">
        <v>744</v>
      </c>
      <c r="D97" s="724"/>
      <c r="E97" s="724" t="s">
        <v>745</v>
      </c>
    </row>
    <row r="98" spans="1:5" ht="43.5" hidden="1" outlineLevel="3" x14ac:dyDescent="0.35">
      <c r="A98" s="695" t="s">
        <v>746</v>
      </c>
      <c r="B98" s="723">
        <v>4</v>
      </c>
      <c r="C98" s="724" t="s">
        <v>747</v>
      </c>
      <c r="D98" s="724"/>
      <c r="E98" s="724" t="s">
        <v>748</v>
      </c>
    </row>
    <row r="99" spans="1:5" ht="29" hidden="1" outlineLevel="4" x14ac:dyDescent="0.35">
      <c r="A99" s="727" t="s">
        <v>749</v>
      </c>
      <c r="B99" s="728">
        <v>5</v>
      </c>
      <c r="C99" s="726" t="s">
        <v>750</v>
      </c>
      <c r="D99" s="726"/>
      <c r="E99" s="726" t="s">
        <v>751</v>
      </c>
    </row>
    <row r="100" spans="1:5" ht="29" hidden="1" outlineLevel="4" x14ac:dyDescent="0.35">
      <c r="A100" s="732" t="s">
        <v>752</v>
      </c>
      <c r="B100" s="728">
        <v>5</v>
      </c>
      <c r="C100" s="726" t="s">
        <v>753</v>
      </c>
      <c r="D100" s="726"/>
      <c r="E100" s="726" t="s">
        <v>754</v>
      </c>
    </row>
    <row r="101" spans="1:5" ht="29" outlineLevel="2" collapsed="1" x14ac:dyDescent="0.35">
      <c r="A101" s="695" t="s">
        <v>13</v>
      </c>
      <c r="B101" s="723">
        <v>3</v>
      </c>
      <c r="C101" s="724" t="s">
        <v>755</v>
      </c>
      <c r="D101" s="755">
        <f>'CBS ($ per kW)'!P15+'CBS ($ per kW)'!P16+'CBS ($ per kW)'!P35</f>
        <v>231.13620180296223</v>
      </c>
      <c r="E101" s="724" t="s">
        <v>756</v>
      </c>
    </row>
    <row r="102" spans="1:5" ht="29" hidden="1" outlineLevel="3" x14ac:dyDescent="0.35">
      <c r="A102" s="695" t="s">
        <v>757</v>
      </c>
      <c r="B102" s="723">
        <v>4</v>
      </c>
      <c r="C102" s="724" t="s">
        <v>758</v>
      </c>
      <c r="D102" s="724"/>
      <c r="E102" s="724" t="s">
        <v>759</v>
      </c>
    </row>
    <row r="103" spans="1:5" ht="43.5" hidden="1" outlineLevel="4" x14ac:dyDescent="0.35">
      <c r="A103" s="731" t="s">
        <v>760</v>
      </c>
      <c r="B103" s="728">
        <v>5</v>
      </c>
      <c r="C103" s="726" t="s">
        <v>761</v>
      </c>
      <c r="D103" s="726"/>
      <c r="E103" s="726" t="s">
        <v>762</v>
      </c>
    </row>
    <row r="104" spans="1:5" ht="29" hidden="1" outlineLevel="4" x14ac:dyDescent="0.35">
      <c r="A104" s="733" t="s">
        <v>763</v>
      </c>
      <c r="B104" s="728">
        <v>5</v>
      </c>
      <c r="C104" s="726" t="s">
        <v>764</v>
      </c>
      <c r="D104" s="726"/>
      <c r="E104" s="726" t="s">
        <v>765</v>
      </c>
    </row>
    <row r="105" spans="1:5" ht="29" hidden="1" outlineLevel="5" x14ac:dyDescent="0.35">
      <c r="A105" s="733" t="s">
        <v>766</v>
      </c>
      <c r="B105" s="728">
        <v>6</v>
      </c>
      <c r="C105" s="729" t="s">
        <v>767</v>
      </c>
      <c r="D105" s="729"/>
      <c r="E105" s="730" t="s">
        <v>768</v>
      </c>
    </row>
    <row r="106" spans="1:5" ht="29" hidden="1" outlineLevel="5" x14ac:dyDescent="0.35">
      <c r="A106" s="733" t="s">
        <v>769</v>
      </c>
      <c r="B106" s="728">
        <v>6</v>
      </c>
      <c r="C106" s="729" t="s">
        <v>770</v>
      </c>
      <c r="D106" s="729"/>
      <c r="E106" s="730" t="s">
        <v>771</v>
      </c>
    </row>
    <row r="107" spans="1:5" ht="29" hidden="1" outlineLevel="5" x14ac:dyDescent="0.35">
      <c r="A107" s="727" t="s">
        <v>772</v>
      </c>
      <c r="B107" s="728">
        <v>6</v>
      </c>
      <c r="C107" s="729" t="s">
        <v>773</v>
      </c>
      <c r="D107" s="729"/>
      <c r="E107" s="730" t="s">
        <v>774</v>
      </c>
    </row>
    <row r="108" spans="1:5" ht="29" hidden="1" outlineLevel="5" x14ac:dyDescent="0.35">
      <c r="A108" s="727" t="s">
        <v>775</v>
      </c>
      <c r="B108" s="728">
        <v>6</v>
      </c>
      <c r="C108" s="729" t="s">
        <v>776</v>
      </c>
      <c r="D108" s="729"/>
      <c r="E108" s="730" t="s">
        <v>777</v>
      </c>
    </row>
    <row r="109" spans="1:5" ht="29" hidden="1" outlineLevel="5" x14ac:dyDescent="0.35">
      <c r="A109" s="731" t="s">
        <v>778</v>
      </c>
      <c r="B109" s="728">
        <v>6</v>
      </c>
      <c r="C109" s="729" t="s">
        <v>779</v>
      </c>
      <c r="D109" s="729"/>
      <c r="E109" s="730" t="s">
        <v>780</v>
      </c>
    </row>
    <row r="110" spans="1:5" ht="29" hidden="1" outlineLevel="4" x14ac:dyDescent="0.35">
      <c r="A110" s="731" t="s">
        <v>781</v>
      </c>
      <c r="B110" s="728">
        <v>5</v>
      </c>
      <c r="C110" s="726" t="s">
        <v>782</v>
      </c>
      <c r="D110" s="726"/>
      <c r="E110" s="726" t="s">
        <v>783</v>
      </c>
    </row>
    <row r="111" spans="1:5" ht="29" hidden="1" outlineLevel="5" x14ac:dyDescent="0.35">
      <c r="A111" s="727" t="s">
        <v>784</v>
      </c>
      <c r="B111" s="728">
        <v>6</v>
      </c>
      <c r="C111" s="729" t="s">
        <v>785</v>
      </c>
      <c r="D111" s="729"/>
      <c r="E111" s="730" t="s">
        <v>786</v>
      </c>
    </row>
    <row r="112" spans="1:5" ht="29" hidden="1" outlineLevel="5" x14ac:dyDescent="0.35">
      <c r="A112" s="727" t="s">
        <v>787</v>
      </c>
      <c r="B112" s="728">
        <v>6</v>
      </c>
      <c r="C112" s="729" t="s">
        <v>788</v>
      </c>
      <c r="D112" s="729"/>
      <c r="E112" s="730" t="s">
        <v>789</v>
      </c>
    </row>
    <row r="113" spans="1:5" ht="29" hidden="1" outlineLevel="5" x14ac:dyDescent="0.35">
      <c r="A113" s="727" t="s">
        <v>790</v>
      </c>
      <c r="B113" s="728">
        <v>6</v>
      </c>
      <c r="C113" s="729" t="s">
        <v>791</v>
      </c>
      <c r="D113" s="729"/>
      <c r="E113" s="730" t="s">
        <v>792</v>
      </c>
    </row>
    <row r="114" spans="1:5" ht="29" hidden="1" outlineLevel="5" x14ac:dyDescent="0.35">
      <c r="A114" s="727" t="s">
        <v>793</v>
      </c>
      <c r="B114" s="728">
        <v>6</v>
      </c>
      <c r="C114" s="729" t="s">
        <v>794</v>
      </c>
      <c r="D114" s="729"/>
      <c r="E114" s="730" t="s">
        <v>795</v>
      </c>
    </row>
    <row r="115" spans="1:5" ht="29" hidden="1" outlineLevel="5" x14ac:dyDescent="0.35">
      <c r="A115" s="727" t="s">
        <v>796</v>
      </c>
      <c r="B115" s="728">
        <v>6</v>
      </c>
      <c r="C115" s="729" t="s">
        <v>797</v>
      </c>
      <c r="D115" s="729"/>
      <c r="E115" s="730" t="s">
        <v>798</v>
      </c>
    </row>
    <row r="116" spans="1:5" ht="43.5" hidden="1" outlineLevel="5" x14ac:dyDescent="0.35">
      <c r="A116" s="731" t="s">
        <v>799</v>
      </c>
      <c r="B116" s="728">
        <v>6</v>
      </c>
      <c r="C116" s="729" t="s">
        <v>800</v>
      </c>
      <c r="D116" s="729"/>
      <c r="E116" s="730" t="s">
        <v>801</v>
      </c>
    </row>
    <row r="117" spans="1:5" ht="29" hidden="1" outlineLevel="4" x14ac:dyDescent="0.35">
      <c r="A117" s="731" t="s">
        <v>802</v>
      </c>
      <c r="B117" s="728">
        <v>5</v>
      </c>
      <c r="C117" s="726" t="s">
        <v>803</v>
      </c>
      <c r="D117" s="726"/>
      <c r="E117" s="726" t="s">
        <v>804</v>
      </c>
    </row>
    <row r="118" spans="1:5" ht="58" hidden="1" outlineLevel="3" x14ac:dyDescent="0.35">
      <c r="A118" s="695" t="s">
        <v>805</v>
      </c>
      <c r="B118" s="723">
        <v>4</v>
      </c>
      <c r="C118" s="724" t="s">
        <v>806</v>
      </c>
      <c r="D118" s="724"/>
      <c r="E118" s="724" t="s">
        <v>807</v>
      </c>
    </row>
    <row r="119" spans="1:5" ht="43.5" hidden="1" outlineLevel="4" x14ac:dyDescent="0.35">
      <c r="A119" s="731" t="s">
        <v>808</v>
      </c>
      <c r="B119" s="728">
        <v>5</v>
      </c>
      <c r="C119" s="726" t="s">
        <v>809</v>
      </c>
      <c r="D119" s="726"/>
      <c r="E119" s="726" t="s">
        <v>810</v>
      </c>
    </row>
    <row r="120" spans="1:5" ht="29" hidden="1" outlineLevel="4" x14ac:dyDescent="0.35">
      <c r="A120" s="731" t="s">
        <v>811</v>
      </c>
      <c r="B120" s="728">
        <v>5</v>
      </c>
      <c r="C120" s="726" t="s">
        <v>812</v>
      </c>
      <c r="D120" s="726"/>
      <c r="E120" s="726" t="s">
        <v>765</v>
      </c>
    </row>
    <row r="121" spans="1:5" ht="29" hidden="1" outlineLevel="5" x14ac:dyDescent="0.35">
      <c r="A121" s="731" t="s">
        <v>813</v>
      </c>
      <c r="B121" s="728">
        <v>6</v>
      </c>
      <c r="C121" s="729" t="s">
        <v>767</v>
      </c>
      <c r="D121" s="729"/>
      <c r="E121" s="730" t="s">
        <v>768</v>
      </c>
    </row>
    <row r="122" spans="1:5" ht="29" hidden="1" outlineLevel="5" x14ac:dyDescent="0.35">
      <c r="A122" s="734" t="s">
        <v>814</v>
      </c>
      <c r="B122" s="728">
        <v>6</v>
      </c>
      <c r="C122" s="729" t="s">
        <v>770</v>
      </c>
      <c r="D122" s="729"/>
      <c r="E122" s="730" t="s">
        <v>771</v>
      </c>
    </row>
    <row r="123" spans="1:5" ht="29" hidden="1" outlineLevel="5" x14ac:dyDescent="0.35">
      <c r="A123" s="734" t="s">
        <v>815</v>
      </c>
      <c r="B123" s="728">
        <v>6</v>
      </c>
      <c r="C123" s="729" t="s">
        <v>773</v>
      </c>
      <c r="D123" s="729"/>
      <c r="E123" s="730" t="s">
        <v>774</v>
      </c>
    </row>
    <row r="124" spans="1:5" ht="29" hidden="1" outlineLevel="5" x14ac:dyDescent="0.35">
      <c r="A124" s="731" t="s">
        <v>816</v>
      </c>
      <c r="B124" s="728">
        <v>6</v>
      </c>
      <c r="C124" s="729" t="s">
        <v>776</v>
      </c>
      <c r="D124" s="729"/>
      <c r="E124" s="730" t="s">
        <v>777</v>
      </c>
    </row>
    <row r="125" spans="1:5" ht="29" hidden="1" outlineLevel="5" x14ac:dyDescent="0.35">
      <c r="A125" s="731" t="s">
        <v>817</v>
      </c>
      <c r="B125" s="728">
        <v>6</v>
      </c>
      <c r="C125" s="729" t="s">
        <v>779</v>
      </c>
      <c r="D125" s="729"/>
      <c r="E125" s="730" t="s">
        <v>780</v>
      </c>
    </row>
    <row r="126" spans="1:5" ht="29" hidden="1" outlineLevel="4" x14ac:dyDescent="0.35">
      <c r="A126" s="731" t="s">
        <v>818</v>
      </c>
      <c r="B126" s="728">
        <v>5</v>
      </c>
      <c r="C126" s="726" t="s">
        <v>782</v>
      </c>
      <c r="D126" s="726"/>
      <c r="E126" s="726" t="s">
        <v>819</v>
      </c>
    </row>
    <row r="127" spans="1:5" ht="29" hidden="1" outlineLevel="5" x14ac:dyDescent="0.35">
      <c r="A127" s="731" t="s">
        <v>820</v>
      </c>
      <c r="B127" s="728">
        <v>6</v>
      </c>
      <c r="C127" s="729" t="s">
        <v>785</v>
      </c>
      <c r="D127" s="729"/>
      <c r="E127" s="730" t="s">
        <v>821</v>
      </c>
    </row>
    <row r="128" spans="1:5" ht="29" hidden="1" outlineLevel="5" x14ac:dyDescent="0.35">
      <c r="A128" s="727" t="s">
        <v>822</v>
      </c>
      <c r="B128" s="728">
        <v>6</v>
      </c>
      <c r="C128" s="729" t="s">
        <v>788</v>
      </c>
      <c r="D128" s="729"/>
      <c r="E128" s="730" t="s">
        <v>789</v>
      </c>
    </row>
    <row r="129" spans="1:5" ht="29" hidden="1" outlineLevel="5" x14ac:dyDescent="0.35">
      <c r="A129" s="727" t="s">
        <v>823</v>
      </c>
      <c r="B129" s="728">
        <v>6</v>
      </c>
      <c r="C129" s="729" t="s">
        <v>791</v>
      </c>
      <c r="D129" s="729"/>
      <c r="E129" s="730" t="s">
        <v>792</v>
      </c>
    </row>
    <row r="130" spans="1:5" ht="29" hidden="1" outlineLevel="5" x14ac:dyDescent="0.35">
      <c r="A130" s="727" t="s">
        <v>824</v>
      </c>
      <c r="B130" s="728">
        <v>6</v>
      </c>
      <c r="C130" s="729" t="s">
        <v>794</v>
      </c>
      <c r="D130" s="729"/>
      <c r="E130" s="730" t="s">
        <v>795</v>
      </c>
    </row>
    <row r="131" spans="1:5" ht="29" hidden="1" outlineLevel="5" x14ac:dyDescent="0.35">
      <c r="A131" s="727" t="s">
        <v>825</v>
      </c>
      <c r="B131" s="728">
        <v>6</v>
      </c>
      <c r="C131" s="729" t="s">
        <v>797</v>
      </c>
      <c r="D131" s="729"/>
      <c r="E131" s="730" t="s">
        <v>798</v>
      </c>
    </row>
    <row r="132" spans="1:5" ht="29" hidden="1" outlineLevel="4" x14ac:dyDescent="0.35">
      <c r="A132" s="731" t="s">
        <v>826</v>
      </c>
      <c r="B132" s="728">
        <v>5</v>
      </c>
      <c r="C132" s="726" t="s">
        <v>827</v>
      </c>
      <c r="D132" s="726"/>
      <c r="E132" s="726" t="s">
        <v>828</v>
      </c>
    </row>
    <row r="133" spans="1:5" ht="58" hidden="1" outlineLevel="3" x14ac:dyDescent="0.35">
      <c r="A133" s="695" t="s">
        <v>829</v>
      </c>
      <c r="B133" s="723">
        <v>4</v>
      </c>
      <c r="C133" s="724" t="s">
        <v>830</v>
      </c>
      <c r="D133" s="724"/>
      <c r="E133" s="724" t="s">
        <v>831</v>
      </c>
    </row>
    <row r="134" spans="1:5" ht="58" hidden="1" outlineLevel="4" x14ac:dyDescent="0.35">
      <c r="A134" s="727" t="s">
        <v>832</v>
      </c>
      <c r="B134" s="728">
        <v>5</v>
      </c>
      <c r="C134" s="726" t="s">
        <v>833</v>
      </c>
      <c r="D134" s="726"/>
      <c r="E134" s="726" t="s">
        <v>834</v>
      </c>
    </row>
    <row r="135" spans="1:5" ht="29" hidden="1" outlineLevel="5" x14ac:dyDescent="0.35">
      <c r="A135" s="731" t="s">
        <v>835</v>
      </c>
      <c r="B135" s="728">
        <v>6</v>
      </c>
      <c r="C135" s="729" t="s">
        <v>836</v>
      </c>
      <c r="D135" s="729"/>
      <c r="E135" s="730" t="s">
        <v>837</v>
      </c>
    </row>
    <row r="136" spans="1:5" hidden="1" outlineLevel="5" x14ac:dyDescent="0.35">
      <c r="A136" s="731" t="s">
        <v>838</v>
      </c>
      <c r="B136" s="728">
        <v>6</v>
      </c>
      <c r="C136" s="729" t="s">
        <v>839</v>
      </c>
      <c r="D136" s="729"/>
      <c r="E136" s="730" t="s">
        <v>840</v>
      </c>
    </row>
    <row r="137" spans="1:5" ht="29" hidden="1" outlineLevel="5" x14ac:dyDescent="0.35">
      <c r="A137" s="731" t="s">
        <v>841</v>
      </c>
      <c r="B137" s="728">
        <v>6</v>
      </c>
      <c r="C137" s="729" t="s">
        <v>842</v>
      </c>
      <c r="D137" s="729"/>
      <c r="E137" s="730" t="s">
        <v>843</v>
      </c>
    </row>
    <row r="138" spans="1:5" ht="29" hidden="1" outlineLevel="5" x14ac:dyDescent="0.35">
      <c r="A138" s="731" t="s">
        <v>844</v>
      </c>
      <c r="B138" s="728">
        <v>6</v>
      </c>
      <c r="C138" s="729" t="s">
        <v>845</v>
      </c>
      <c r="D138" s="729"/>
      <c r="E138" s="730" t="s">
        <v>846</v>
      </c>
    </row>
    <row r="139" spans="1:5" hidden="1" outlineLevel="5" x14ac:dyDescent="0.35">
      <c r="A139" s="731" t="s">
        <v>847</v>
      </c>
      <c r="B139" s="728">
        <v>6</v>
      </c>
      <c r="C139" s="729" t="s">
        <v>848</v>
      </c>
      <c r="D139" s="729"/>
      <c r="E139" s="730" t="s">
        <v>849</v>
      </c>
    </row>
    <row r="140" spans="1:5" ht="58" hidden="1" outlineLevel="5" x14ac:dyDescent="0.35">
      <c r="A140" s="731" t="s">
        <v>850</v>
      </c>
      <c r="B140" s="728">
        <v>6</v>
      </c>
      <c r="C140" s="729" t="s">
        <v>851</v>
      </c>
      <c r="D140" s="729"/>
      <c r="E140" s="730" t="s">
        <v>852</v>
      </c>
    </row>
    <row r="141" spans="1:5" ht="29" hidden="1" outlineLevel="5" x14ac:dyDescent="0.35">
      <c r="A141" s="731" t="s">
        <v>853</v>
      </c>
      <c r="B141" s="728">
        <v>6</v>
      </c>
      <c r="C141" s="729" t="s">
        <v>854</v>
      </c>
      <c r="D141" s="729"/>
      <c r="E141" s="730" t="s">
        <v>855</v>
      </c>
    </row>
    <row r="142" spans="1:5" ht="29" hidden="1" outlineLevel="4" x14ac:dyDescent="0.35">
      <c r="A142" s="731" t="s">
        <v>856</v>
      </c>
      <c r="B142" s="728">
        <v>5</v>
      </c>
      <c r="C142" s="726" t="s">
        <v>857</v>
      </c>
      <c r="D142" s="726"/>
      <c r="E142" s="726" t="s">
        <v>858</v>
      </c>
    </row>
    <row r="143" spans="1:5" ht="29" hidden="1" outlineLevel="5" x14ac:dyDescent="0.35">
      <c r="A143" s="731" t="s">
        <v>859</v>
      </c>
      <c r="B143" s="728">
        <v>6</v>
      </c>
      <c r="C143" s="729" t="s">
        <v>860</v>
      </c>
      <c r="D143" s="729"/>
      <c r="E143" s="730" t="s">
        <v>861</v>
      </c>
    </row>
    <row r="144" spans="1:5" ht="29" hidden="1" outlineLevel="5" x14ac:dyDescent="0.35">
      <c r="A144" s="731" t="s">
        <v>862</v>
      </c>
      <c r="B144" s="728">
        <v>6</v>
      </c>
      <c r="C144" s="729" t="s">
        <v>863</v>
      </c>
      <c r="D144" s="729"/>
      <c r="E144" s="730" t="s">
        <v>864</v>
      </c>
    </row>
    <row r="145" spans="1:5" ht="29" hidden="1" outlineLevel="5" x14ac:dyDescent="0.35">
      <c r="A145" s="731" t="s">
        <v>865</v>
      </c>
      <c r="B145" s="728">
        <v>6</v>
      </c>
      <c r="C145" s="729" t="s">
        <v>866</v>
      </c>
      <c r="D145" s="729"/>
      <c r="E145" s="730" t="s">
        <v>867</v>
      </c>
    </row>
    <row r="146" spans="1:5" ht="29" hidden="1" outlineLevel="5" x14ac:dyDescent="0.35">
      <c r="A146" s="731" t="s">
        <v>868</v>
      </c>
      <c r="B146" s="728">
        <v>6</v>
      </c>
      <c r="C146" s="729" t="s">
        <v>869</v>
      </c>
      <c r="D146" s="729"/>
      <c r="E146" s="730" t="s">
        <v>870</v>
      </c>
    </row>
    <row r="147" spans="1:5" ht="58" hidden="1" outlineLevel="5" x14ac:dyDescent="0.35">
      <c r="A147" s="731" t="s">
        <v>871</v>
      </c>
      <c r="B147" s="728">
        <v>6</v>
      </c>
      <c r="C147" s="729" t="s">
        <v>872</v>
      </c>
      <c r="D147" s="729"/>
      <c r="E147" s="730" t="s">
        <v>873</v>
      </c>
    </row>
    <row r="148" spans="1:5" ht="29" hidden="1" outlineLevel="5" x14ac:dyDescent="0.35">
      <c r="A148" s="731" t="s">
        <v>874</v>
      </c>
      <c r="B148" s="728">
        <v>6</v>
      </c>
      <c r="C148" s="729" t="s">
        <v>854</v>
      </c>
      <c r="D148" s="729"/>
      <c r="E148" s="730" t="s">
        <v>855</v>
      </c>
    </row>
    <row r="149" spans="1:5" ht="29" hidden="1" outlineLevel="4" x14ac:dyDescent="0.35">
      <c r="A149" s="731" t="s">
        <v>875</v>
      </c>
      <c r="B149" s="728">
        <v>5</v>
      </c>
      <c r="C149" s="726" t="s">
        <v>876</v>
      </c>
      <c r="D149" s="726"/>
      <c r="E149" s="726" t="s">
        <v>877</v>
      </c>
    </row>
    <row r="150" spans="1:5" ht="29" hidden="1" outlineLevel="5" x14ac:dyDescent="0.35">
      <c r="A150" s="731" t="s">
        <v>878</v>
      </c>
      <c r="B150" s="728">
        <v>6</v>
      </c>
      <c r="C150" s="729" t="s">
        <v>879</v>
      </c>
      <c r="D150" s="729"/>
      <c r="E150" s="730" t="s">
        <v>880</v>
      </c>
    </row>
    <row r="151" spans="1:5" ht="29" hidden="1" outlineLevel="5" x14ac:dyDescent="0.35">
      <c r="A151" s="731" t="s">
        <v>881</v>
      </c>
      <c r="B151" s="728">
        <v>6</v>
      </c>
      <c r="C151" s="729" t="s">
        <v>882</v>
      </c>
      <c r="D151" s="729"/>
      <c r="E151" s="730" t="s">
        <v>883</v>
      </c>
    </row>
    <row r="152" spans="1:5" ht="29" hidden="1" outlineLevel="5" x14ac:dyDescent="0.35">
      <c r="A152" s="731" t="s">
        <v>884</v>
      </c>
      <c r="B152" s="728">
        <v>6</v>
      </c>
      <c r="C152" s="729" t="s">
        <v>885</v>
      </c>
      <c r="D152" s="729"/>
      <c r="E152" s="730" t="s">
        <v>886</v>
      </c>
    </row>
    <row r="153" spans="1:5" hidden="1" outlineLevel="5" x14ac:dyDescent="0.35">
      <c r="A153" s="731" t="s">
        <v>887</v>
      </c>
      <c r="B153" s="728">
        <v>6</v>
      </c>
      <c r="C153" s="729" t="s">
        <v>888</v>
      </c>
      <c r="D153" s="729"/>
      <c r="E153" s="730" t="s">
        <v>889</v>
      </c>
    </row>
    <row r="154" spans="1:5" ht="29" hidden="1" outlineLevel="5" x14ac:dyDescent="0.35">
      <c r="A154" s="731" t="s">
        <v>890</v>
      </c>
      <c r="B154" s="728">
        <v>6</v>
      </c>
      <c r="C154" s="729" t="s">
        <v>891</v>
      </c>
      <c r="D154" s="729"/>
      <c r="E154" s="730" t="s">
        <v>892</v>
      </c>
    </row>
    <row r="155" spans="1:5" hidden="1" outlineLevel="5" x14ac:dyDescent="0.35">
      <c r="A155" s="731" t="s">
        <v>893</v>
      </c>
      <c r="B155" s="728">
        <v>6</v>
      </c>
      <c r="C155" s="729" t="s">
        <v>894</v>
      </c>
      <c r="D155" s="729"/>
      <c r="E155" s="730" t="s">
        <v>895</v>
      </c>
    </row>
    <row r="156" spans="1:5" ht="58" hidden="1" outlineLevel="5" x14ac:dyDescent="0.35">
      <c r="A156" s="731" t="s">
        <v>896</v>
      </c>
      <c r="B156" s="728">
        <v>6</v>
      </c>
      <c r="C156" s="729" t="s">
        <v>897</v>
      </c>
      <c r="D156" s="729"/>
      <c r="E156" s="730" t="s">
        <v>852</v>
      </c>
    </row>
    <row r="157" spans="1:5" ht="29" hidden="1" outlineLevel="5" x14ac:dyDescent="0.35">
      <c r="A157" s="731" t="s">
        <v>898</v>
      </c>
      <c r="B157" s="728">
        <v>6</v>
      </c>
      <c r="C157" s="729" t="s">
        <v>854</v>
      </c>
      <c r="D157" s="729"/>
      <c r="E157" s="730" t="s">
        <v>899</v>
      </c>
    </row>
    <row r="158" spans="1:5" ht="29" hidden="1" outlineLevel="4" x14ac:dyDescent="0.35">
      <c r="A158" s="731" t="s">
        <v>900</v>
      </c>
      <c r="B158" s="728">
        <v>5</v>
      </c>
      <c r="C158" s="726" t="s">
        <v>901</v>
      </c>
      <c r="D158" s="726"/>
      <c r="E158" s="726" t="s">
        <v>902</v>
      </c>
    </row>
    <row r="159" spans="1:5" ht="29" hidden="1" outlineLevel="5" x14ac:dyDescent="0.35">
      <c r="A159" s="731" t="s">
        <v>903</v>
      </c>
      <c r="B159" s="728">
        <v>6</v>
      </c>
      <c r="C159" s="729" t="s">
        <v>904</v>
      </c>
      <c r="D159" s="729"/>
      <c r="E159" s="730" t="s">
        <v>905</v>
      </c>
    </row>
    <row r="160" spans="1:5" hidden="1" outlineLevel="5" x14ac:dyDescent="0.35">
      <c r="A160" s="731" t="s">
        <v>906</v>
      </c>
      <c r="B160" s="728">
        <v>6</v>
      </c>
      <c r="C160" s="729" t="s">
        <v>907</v>
      </c>
      <c r="D160" s="729"/>
      <c r="E160" s="730" t="s">
        <v>908</v>
      </c>
    </row>
    <row r="161" spans="1:5" hidden="1" outlineLevel="5" x14ac:dyDescent="0.35">
      <c r="A161" s="731" t="s">
        <v>909</v>
      </c>
      <c r="B161" s="728">
        <v>6</v>
      </c>
      <c r="C161" s="729" t="s">
        <v>910</v>
      </c>
      <c r="D161" s="729"/>
      <c r="E161" s="730" t="s">
        <v>911</v>
      </c>
    </row>
    <row r="162" spans="1:5" ht="29" hidden="1" outlineLevel="5" x14ac:dyDescent="0.35">
      <c r="A162" s="731" t="s">
        <v>912</v>
      </c>
      <c r="B162" s="728">
        <v>6</v>
      </c>
      <c r="C162" s="729" t="s">
        <v>913</v>
      </c>
      <c r="D162" s="729"/>
      <c r="E162" s="730" t="s">
        <v>914</v>
      </c>
    </row>
    <row r="163" spans="1:5" ht="58" hidden="1" outlineLevel="5" x14ac:dyDescent="0.35">
      <c r="A163" s="731" t="s">
        <v>915</v>
      </c>
      <c r="B163" s="728">
        <v>6</v>
      </c>
      <c r="C163" s="729" t="s">
        <v>916</v>
      </c>
      <c r="D163" s="729"/>
      <c r="E163" s="730" t="s">
        <v>917</v>
      </c>
    </row>
    <row r="164" spans="1:5" ht="43.5" hidden="1" outlineLevel="5" x14ac:dyDescent="0.35">
      <c r="A164" s="731" t="s">
        <v>918</v>
      </c>
      <c r="B164" s="728">
        <v>6</v>
      </c>
      <c r="C164" s="729" t="s">
        <v>919</v>
      </c>
      <c r="D164" s="729"/>
      <c r="E164" s="730" t="s">
        <v>920</v>
      </c>
    </row>
    <row r="165" spans="1:5" ht="29" hidden="1" outlineLevel="5" x14ac:dyDescent="0.35">
      <c r="A165" s="731" t="s">
        <v>921</v>
      </c>
      <c r="B165" s="728">
        <v>6</v>
      </c>
      <c r="C165" s="729" t="s">
        <v>854</v>
      </c>
      <c r="D165" s="729"/>
      <c r="E165" s="730" t="s">
        <v>922</v>
      </c>
    </row>
    <row r="166" spans="1:5" ht="29" hidden="1" outlineLevel="3" x14ac:dyDescent="0.35">
      <c r="A166" s="695" t="s">
        <v>923</v>
      </c>
      <c r="B166" s="723">
        <v>4</v>
      </c>
      <c r="C166" s="724" t="s">
        <v>924</v>
      </c>
      <c r="D166" s="724"/>
      <c r="E166" s="724" t="s">
        <v>925</v>
      </c>
    </row>
    <row r="167" spans="1:5" ht="29" hidden="1" outlineLevel="4" x14ac:dyDescent="0.35">
      <c r="A167" s="731" t="s">
        <v>926</v>
      </c>
      <c r="B167" s="728">
        <v>5</v>
      </c>
      <c r="C167" s="726" t="s">
        <v>927</v>
      </c>
      <c r="D167" s="726"/>
      <c r="E167" s="726" t="s">
        <v>928</v>
      </c>
    </row>
    <row r="168" spans="1:5" ht="29" hidden="1" outlineLevel="4" x14ac:dyDescent="0.35">
      <c r="A168" s="731" t="s">
        <v>929</v>
      </c>
      <c r="B168" s="728">
        <v>5</v>
      </c>
      <c r="C168" s="726" t="s">
        <v>930</v>
      </c>
      <c r="D168" s="726"/>
      <c r="E168" s="726" t="s">
        <v>931</v>
      </c>
    </row>
    <row r="169" spans="1:5" ht="29" hidden="1" outlineLevel="5" x14ac:dyDescent="0.35">
      <c r="A169" s="731" t="s">
        <v>932</v>
      </c>
      <c r="B169" s="728">
        <v>6</v>
      </c>
      <c r="C169" s="729" t="s">
        <v>933</v>
      </c>
      <c r="D169" s="729"/>
      <c r="E169" s="730" t="s">
        <v>934</v>
      </c>
    </row>
    <row r="170" spans="1:5" ht="29" hidden="1" outlineLevel="5" x14ac:dyDescent="0.35">
      <c r="A170" s="731" t="s">
        <v>935</v>
      </c>
      <c r="B170" s="728">
        <v>6</v>
      </c>
      <c r="C170" s="729" t="s">
        <v>936</v>
      </c>
      <c r="D170" s="729"/>
      <c r="E170" s="730" t="s">
        <v>937</v>
      </c>
    </row>
    <row r="171" spans="1:5" ht="29" hidden="1" outlineLevel="4" x14ac:dyDescent="0.35">
      <c r="A171" s="731" t="s">
        <v>938</v>
      </c>
      <c r="B171" s="728">
        <v>5</v>
      </c>
      <c r="C171" s="726" t="s">
        <v>939</v>
      </c>
      <c r="D171" s="726"/>
      <c r="E171" s="726" t="s">
        <v>940</v>
      </c>
    </row>
    <row r="172" spans="1:5" hidden="1" outlineLevel="5" x14ac:dyDescent="0.35">
      <c r="A172" s="731" t="s">
        <v>941</v>
      </c>
      <c r="B172" s="728">
        <v>6</v>
      </c>
      <c r="C172" s="729" t="s">
        <v>942</v>
      </c>
      <c r="D172" s="729"/>
      <c r="E172" s="730" t="s">
        <v>943</v>
      </c>
    </row>
    <row r="173" spans="1:5" hidden="1" outlineLevel="5" x14ac:dyDescent="0.35">
      <c r="A173" s="731" t="s">
        <v>944</v>
      </c>
      <c r="B173" s="728">
        <v>6</v>
      </c>
      <c r="C173" s="729" t="s">
        <v>945</v>
      </c>
      <c r="D173" s="729"/>
      <c r="E173" s="730" t="s">
        <v>946</v>
      </c>
    </row>
    <row r="174" spans="1:5" ht="29" hidden="1" outlineLevel="5" x14ac:dyDescent="0.35">
      <c r="A174" s="731" t="s">
        <v>947</v>
      </c>
      <c r="B174" s="728">
        <v>6</v>
      </c>
      <c r="C174" s="729" t="s">
        <v>948</v>
      </c>
      <c r="D174" s="729"/>
      <c r="E174" s="730" t="s">
        <v>949</v>
      </c>
    </row>
    <row r="175" spans="1:5" ht="29" hidden="1" outlineLevel="4" x14ac:dyDescent="0.35">
      <c r="A175" s="731" t="s">
        <v>950</v>
      </c>
      <c r="B175" s="728">
        <v>5</v>
      </c>
      <c r="C175" s="726" t="s">
        <v>951</v>
      </c>
      <c r="D175" s="726"/>
      <c r="E175" s="726" t="s">
        <v>952</v>
      </c>
    </row>
    <row r="176" spans="1:5" ht="29" hidden="1" outlineLevel="5" x14ac:dyDescent="0.35">
      <c r="A176" s="731" t="s">
        <v>953</v>
      </c>
      <c r="B176" s="728">
        <v>6</v>
      </c>
      <c r="C176" s="729" t="s">
        <v>954</v>
      </c>
      <c r="D176" s="729"/>
      <c r="E176" s="730" t="s">
        <v>955</v>
      </c>
    </row>
    <row r="177" spans="1:5" ht="58" hidden="1" outlineLevel="5" x14ac:dyDescent="0.35">
      <c r="A177" s="731" t="s">
        <v>956</v>
      </c>
      <c r="B177" s="728">
        <v>6</v>
      </c>
      <c r="C177" s="729" t="s">
        <v>957</v>
      </c>
      <c r="D177" s="729"/>
      <c r="E177" s="730" t="s">
        <v>958</v>
      </c>
    </row>
    <row r="178" spans="1:5" ht="29" hidden="1" outlineLevel="5" x14ac:dyDescent="0.35">
      <c r="A178" s="731" t="s">
        <v>959</v>
      </c>
      <c r="B178" s="728">
        <v>6</v>
      </c>
      <c r="C178" s="729" t="s">
        <v>960</v>
      </c>
      <c r="D178" s="729"/>
      <c r="E178" s="730" t="s">
        <v>961</v>
      </c>
    </row>
    <row r="179" spans="1:5" ht="43.5" hidden="1" outlineLevel="4" x14ac:dyDescent="0.35">
      <c r="A179" s="731" t="s">
        <v>962</v>
      </c>
      <c r="B179" s="728">
        <v>5</v>
      </c>
      <c r="C179" s="726" t="s">
        <v>963</v>
      </c>
      <c r="D179" s="726"/>
      <c r="E179" s="726" t="s">
        <v>964</v>
      </c>
    </row>
    <row r="180" spans="1:5" ht="29" hidden="1" outlineLevel="5" x14ac:dyDescent="0.35">
      <c r="A180" s="731" t="s">
        <v>965</v>
      </c>
      <c r="B180" s="728">
        <v>6</v>
      </c>
      <c r="C180" s="729" t="s">
        <v>966</v>
      </c>
      <c r="D180" s="729"/>
      <c r="E180" s="730" t="s">
        <v>967</v>
      </c>
    </row>
    <row r="181" spans="1:5" ht="29" hidden="1" outlineLevel="5" x14ac:dyDescent="0.35">
      <c r="A181" s="727" t="s">
        <v>968</v>
      </c>
      <c r="B181" s="728">
        <v>6</v>
      </c>
      <c r="C181" s="729" t="s">
        <v>969</v>
      </c>
      <c r="D181" s="729"/>
      <c r="E181" s="730" t="s">
        <v>970</v>
      </c>
    </row>
    <row r="182" spans="1:5" ht="58" hidden="1" outlineLevel="5" x14ac:dyDescent="0.35">
      <c r="A182" s="731" t="s">
        <v>971</v>
      </c>
      <c r="B182" s="728">
        <v>6</v>
      </c>
      <c r="C182" s="729" t="s">
        <v>972</v>
      </c>
      <c r="D182" s="729"/>
      <c r="E182" s="730" t="s">
        <v>973</v>
      </c>
    </row>
    <row r="183" spans="1:5" ht="43.5" hidden="1" outlineLevel="5" x14ac:dyDescent="0.35">
      <c r="A183" s="731" t="s">
        <v>974</v>
      </c>
      <c r="B183" s="728">
        <v>6</v>
      </c>
      <c r="C183" s="729" t="s">
        <v>975</v>
      </c>
      <c r="D183" s="729"/>
      <c r="E183" s="730" t="s">
        <v>976</v>
      </c>
    </row>
    <row r="184" spans="1:5" ht="43.5" hidden="1" outlineLevel="4" x14ac:dyDescent="0.35">
      <c r="A184" s="731" t="s">
        <v>977</v>
      </c>
      <c r="B184" s="728">
        <v>5</v>
      </c>
      <c r="C184" s="726" t="s">
        <v>978</v>
      </c>
      <c r="D184" s="726"/>
      <c r="E184" s="726" t="s">
        <v>979</v>
      </c>
    </row>
    <row r="185" spans="1:5" ht="29" outlineLevel="2" x14ac:dyDescent="0.35">
      <c r="A185" s="695" t="s">
        <v>15</v>
      </c>
      <c r="B185" s="723">
        <v>3</v>
      </c>
      <c r="C185" s="724" t="s">
        <v>980</v>
      </c>
      <c r="D185" s="758">
        <v>0</v>
      </c>
      <c r="E185" s="724" t="s">
        <v>981</v>
      </c>
    </row>
    <row r="186" spans="1:5" ht="43.5" outlineLevel="2" collapsed="1" x14ac:dyDescent="0.35">
      <c r="A186" s="695" t="s">
        <v>16</v>
      </c>
      <c r="B186" s="723">
        <v>3</v>
      </c>
      <c r="C186" s="724" t="s">
        <v>982</v>
      </c>
      <c r="D186" s="758">
        <v>0</v>
      </c>
      <c r="E186" s="724" t="s">
        <v>983</v>
      </c>
    </row>
    <row r="187" spans="1:5" ht="29" hidden="1" outlineLevel="3" x14ac:dyDescent="0.35">
      <c r="A187" s="695" t="s">
        <v>984</v>
      </c>
      <c r="B187" s="723">
        <v>4</v>
      </c>
      <c r="C187" s="724" t="s">
        <v>985</v>
      </c>
      <c r="D187" s="724"/>
      <c r="E187" s="724" t="s">
        <v>986</v>
      </c>
    </row>
    <row r="188" spans="1:5" ht="29" hidden="1" outlineLevel="4" x14ac:dyDescent="0.35">
      <c r="A188" s="735" t="s">
        <v>987</v>
      </c>
      <c r="B188" s="728">
        <v>5</v>
      </c>
      <c r="C188" s="726" t="s">
        <v>988</v>
      </c>
      <c r="D188" s="726"/>
      <c r="E188" s="726" t="s">
        <v>989</v>
      </c>
    </row>
    <row r="189" spans="1:5" ht="29" hidden="1" outlineLevel="4" x14ac:dyDescent="0.35">
      <c r="A189" s="735" t="s">
        <v>990</v>
      </c>
      <c r="B189" s="728">
        <v>5</v>
      </c>
      <c r="C189" s="726" t="s">
        <v>991</v>
      </c>
      <c r="D189" s="726"/>
      <c r="E189" s="726" t="s">
        <v>992</v>
      </c>
    </row>
    <row r="190" spans="1:5" ht="29" hidden="1" outlineLevel="4" x14ac:dyDescent="0.35">
      <c r="A190" s="735" t="s">
        <v>993</v>
      </c>
      <c r="B190" s="728">
        <v>5</v>
      </c>
      <c r="C190" s="726" t="s">
        <v>994</v>
      </c>
      <c r="D190" s="726"/>
      <c r="E190" s="726" t="s">
        <v>995</v>
      </c>
    </row>
    <row r="191" spans="1:5" ht="29" hidden="1" outlineLevel="4" x14ac:dyDescent="0.35">
      <c r="A191" s="735" t="s">
        <v>996</v>
      </c>
      <c r="B191" s="728">
        <v>5</v>
      </c>
      <c r="C191" s="726" t="s">
        <v>997</v>
      </c>
      <c r="D191" s="726"/>
      <c r="E191" s="726" t="s">
        <v>998</v>
      </c>
    </row>
    <row r="192" spans="1:5" ht="58" hidden="1" outlineLevel="3" x14ac:dyDescent="0.35">
      <c r="A192" s="695" t="s">
        <v>999</v>
      </c>
      <c r="B192" s="723">
        <v>4</v>
      </c>
      <c r="C192" s="724" t="s">
        <v>1000</v>
      </c>
      <c r="D192" s="724"/>
      <c r="E192" s="724" t="s">
        <v>1001</v>
      </c>
    </row>
    <row r="193" spans="1:5" ht="29" hidden="1" outlineLevel="3" x14ac:dyDescent="0.35">
      <c r="A193" s="695" t="s">
        <v>1002</v>
      </c>
      <c r="B193" s="723">
        <v>4</v>
      </c>
      <c r="C193" s="724" t="s">
        <v>1003</v>
      </c>
      <c r="D193" s="724"/>
      <c r="E193" s="724" t="s">
        <v>1004</v>
      </c>
    </row>
    <row r="194" spans="1:5" hidden="1" outlineLevel="3" x14ac:dyDescent="0.35">
      <c r="A194" s="695" t="s">
        <v>1005</v>
      </c>
      <c r="B194" s="723">
        <v>4</v>
      </c>
      <c r="C194" s="724" t="s">
        <v>1006</v>
      </c>
      <c r="D194" s="724"/>
      <c r="E194" s="724" t="s">
        <v>1007</v>
      </c>
    </row>
    <row r="195" spans="1:5" ht="43.5" hidden="1" outlineLevel="4" x14ac:dyDescent="0.35">
      <c r="A195" s="731" t="s">
        <v>1008</v>
      </c>
      <c r="B195" s="728">
        <v>5</v>
      </c>
      <c r="C195" s="726" t="s">
        <v>1009</v>
      </c>
      <c r="D195" s="726"/>
      <c r="E195" s="726" t="s">
        <v>1010</v>
      </c>
    </row>
    <row r="196" spans="1:5" ht="29" hidden="1" outlineLevel="4" x14ac:dyDescent="0.35">
      <c r="A196" s="427" t="s">
        <v>1011</v>
      </c>
      <c r="B196" s="728">
        <v>5</v>
      </c>
      <c r="C196" s="726" t="s">
        <v>1012</v>
      </c>
      <c r="D196" s="726"/>
      <c r="E196" s="726" t="s">
        <v>1013</v>
      </c>
    </row>
    <row r="197" spans="1:5" ht="43.5" hidden="1" outlineLevel="4" x14ac:dyDescent="0.35">
      <c r="A197" s="731" t="s">
        <v>1014</v>
      </c>
      <c r="B197" s="728">
        <v>5</v>
      </c>
      <c r="C197" s="726" t="s">
        <v>1015</v>
      </c>
      <c r="D197" s="726"/>
      <c r="E197" s="726" t="s">
        <v>1016</v>
      </c>
    </row>
    <row r="198" spans="1:5" ht="72.5" outlineLevel="2" collapsed="1" x14ac:dyDescent="0.35">
      <c r="A198" s="695" t="s">
        <v>1017</v>
      </c>
      <c r="B198" s="723">
        <v>3</v>
      </c>
      <c r="C198" s="724" t="s">
        <v>1018</v>
      </c>
      <c r="D198" s="755">
        <f>'CBS ($ per kW)'!P38</f>
        <v>386.32235362811792</v>
      </c>
      <c r="E198" s="724" t="s">
        <v>1019</v>
      </c>
    </row>
    <row r="199" spans="1:5" ht="29" hidden="1" outlineLevel="3" x14ac:dyDescent="0.35">
      <c r="A199" s="695" t="s">
        <v>1020</v>
      </c>
      <c r="B199" s="723">
        <v>4</v>
      </c>
      <c r="C199" s="724" t="s">
        <v>1021</v>
      </c>
      <c r="D199" s="724"/>
      <c r="E199" s="724" t="s">
        <v>1022</v>
      </c>
    </row>
    <row r="200" spans="1:5" ht="29" hidden="1" outlineLevel="4" x14ac:dyDescent="0.35">
      <c r="A200" s="731" t="s">
        <v>1023</v>
      </c>
      <c r="B200" s="728">
        <v>5</v>
      </c>
      <c r="C200" s="726" t="s">
        <v>1024</v>
      </c>
      <c r="D200" s="726"/>
      <c r="E200" s="726" t="s">
        <v>1025</v>
      </c>
    </row>
    <row r="201" spans="1:5" ht="29" hidden="1" outlineLevel="4" x14ac:dyDescent="0.35">
      <c r="A201" s="731" t="s">
        <v>1026</v>
      </c>
      <c r="B201" s="728">
        <v>5</v>
      </c>
      <c r="C201" s="726" t="s">
        <v>1027</v>
      </c>
      <c r="D201" s="726"/>
      <c r="E201" s="726" t="s">
        <v>1028</v>
      </c>
    </row>
    <row r="202" spans="1:5" ht="29" hidden="1" outlineLevel="4" x14ac:dyDescent="0.35">
      <c r="A202" s="731" t="s">
        <v>1029</v>
      </c>
      <c r="B202" s="728">
        <v>5</v>
      </c>
      <c r="C202" s="726" t="s">
        <v>1030</v>
      </c>
      <c r="D202" s="726"/>
      <c r="E202" s="726" t="s">
        <v>1031</v>
      </c>
    </row>
    <row r="203" spans="1:5" ht="43.5" hidden="1" outlineLevel="3" x14ac:dyDescent="0.35">
      <c r="A203" s="695" t="s">
        <v>1032</v>
      </c>
      <c r="B203" s="723">
        <v>4</v>
      </c>
      <c r="C203" s="724" t="s">
        <v>1033</v>
      </c>
      <c r="D203" s="724"/>
      <c r="E203" s="724" t="s">
        <v>1034</v>
      </c>
    </row>
    <row r="204" spans="1:5" ht="43.5" hidden="1" outlineLevel="4" x14ac:dyDescent="0.35">
      <c r="A204" s="731" t="s">
        <v>1035</v>
      </c>
      <c r="B204" s="728">
        <v>5</v>
      </c>
      <c r="C204" s="726" t="s">
        <v>1036</v>
      </c>
      <c r="D204" s="726"/>
      <c r="E204" s="726" t="s">
        <v>1037</v>
      </c>
    </row>
    <row r="205" spans="1:5" ht="72.5" hidden="1" outlineLevel="4" x14ac:dyDescent="0.35">
      <c r="A205" s="731" t="s">
        <v>1038</v>
      </c>
      <c r="B205" s="728">
        <v>5</v>
      </c>
      <c r="C205" s="726" t="s">
        <v>1039</v>
      </c>
      <c r="D205" s="726"/>
      <c r="E205" s="726" t="s">
        <v>1040</v>
      </c>
    </row>
    <row r="206" spans="1:5" ht="29" hidden="1" outlineLevel="3" x14ac:dyDescent="0.35">
      <c r="A206" s="695" t="s">
        <v>1041</v>
      </c>
      <c r="B206" s="723">
        <v>4</v>
      </c>
      <c r="C206" s="724" t="s">
        <v>1042</v>
      </c>
      <c r="D206" s="724"/>
      <c r="E206" s="724" t="s">
        <v>1043</v>
      </c>
    </row>
    <row r="207" spans="1:5" hidden="1" outlineLevel="4" x14ac:dyDescent="0.35">
      <c r="A207" s="736" t="s">
        <v>1044</v>
      </c>
      <c r="B207" s="728">
        <v>5</v>
      </c>
      <c r="C207" s="726" t="s">
        <v>761</v>
      </c>
      <c r="D207" s="726"/>
      <c r="E207" s="726" t="s">
        <v>1045</v>
      </c>
    </row>
    <row r="208" spans="1:5" hidden="1" outlineLevel="5" x14ac:dyDescent="0.35">
      <c r="A208" s="737" t="s">
        <v>1046</v>
      </c>
      <c r="B208" s="728">
        <v>6</v>
      </c>
      <c r="C208" s="729" t="s">
        <v>1047</v>
      </c>
      <c r="D208" s="729"/>
      <c r="E208" s="726" t="s">
        <v>1048</v>
      </c>
    </row>
    <row r="209" spans="1:5" hidden="1" outlineLevel="5" x14ac:dyDescent="0.35">
      <c r="A209" s="737" t="s">
        <v>1049</v>
      </c>
      <c r="B209" s="728">
        <v>6</v>
      </c>
      <c r="C209" s="729" t="s">
        <v>1050</v>
      </c>
      <c r="D209" s="729"/>
      <c r="E209" s="726" t="s">
        <v>1051</v>
      </c>
    </row>
    <row r="210" spans="1:5" hidden="1" outlineLevel="5" x14ac:dyDescent="0.35">
      <c r="A210" s="737" t="s">
        <v>1052</v>
      </c>
      <c r="B210" s="728">
        <v>6</v>
      </c>
      <c r="C210" s="729" t="s">
        <v>1053</v>
      </c>
      <c r="D210" s="729"/>
      <c r="E210" s="726" t="s">
        <v>1054</v>
      </c>
    </row>
    <row r="211" spans="1:5" ht="29" hidden="1" outlineLevel="5" x14ac:dyDescent="0.35">
      <c r="A211" s="737" t="s">
        <v>1055</v>
      </c>
      <c r="B211" s="728">
        <v>6</v>
      </c>
      <c r="C211" s="729" t="s">
        <v>1056</v>
      </c>
      <c r="D211" s="729"/>
      <c r="E211" s="726" t="s">
        <v>1057</v>
      </c>
    </row>
    <row r="212" spans="1:5" hidden="1" outlineLevel="4" x14ac:dyDescent="0.35">
      <c r="A212" s="737" t="s">
        <v>1058</v>
      </c>
      <c r="B212" s="728">
        <v>5</v>
      </c>
      <c r="C212" s="726" t="s">
        <v>1059</v>
      </c>
      <c r="D212" s="726"/>
      <c r="E212" s="726" t="s">
        <v>1060</v>
      </c>
    </row>
    <row r="213" spans="1:5" ht="29" hidden="1" outlineLevel="5" x14ac:dyDescent="0.35">
      <c r="A213" s="737" t="s">
        <v>1061</v>
      </c>
      <c r="B213" s="728">
        <v>6</v>
      </c>
      <c r="C213" s="729" t="s">
        <v>1062</v>
      </c>
      <c r="D213" s="729"/>
      <c r="E213" s="726" t="s">
        <v>1063</v>
      </c>
    </row>
    <row r="214" spans="1:5" hidden="1" outlineLevel="5" x14ac:dyDescent="0.35">
      <c r="A214" s="737" t="s">
        <v>1064</v>
      </c>
      <c r="B214" s="728">
        <v>6</v>
      </c>
      <c r="C214" s="729" t="s">
        <v>1053</v>
      </c>
      <c r="D214" s="729"/>
      <c r="E214" s="726" t="s">
        <v>1065</v>
      </c>
    </row>
    <row r="215" spans="1:5" ht="29" hidden="1" outlineLevel="5" x14ac:dyDescent="0.35">
      <c r="A215" s="737" t="s">
        <v>1066</v>
      </c>
      <c r="B215" s="728">
        <v>6</v>
      </c>
      <c r="C215" s="729" t="s">
        <v>1056</v>
      </c>
      <c r="D215" s="729"/>
      <c r="E215" s="726" t="s">
        <v>1067</v>
      </c>
    </row>
    <row r="216" spans="1:5" ht="29" hidden="1" outlineLevel="5" x14ac:dyDescent="0.35">
      <c r="A216" s="737" t="s">
        <v>1068</v>
      </c>
      <c r="B216" s="728">
        <v>6</v>
      </c>
      <c r="C216" s="729" t="s">
        <v>1069</v>
      </c>
      <c r="D216" s="729"/>
      <c r="E216" s="726" t="s">
        <v>1070</v>
      </c>
    </row>
    <row r="217" spans="1:5" hidden="1" outlineLevel="4" x14ac:dyDescent="0.35">
      <c r="A217" s="737" t="s">
        <v>1071</v>
      </c>
      <c r="B217" s="728">
        <v>5</v>
      </c>
      <c r="C217" s="726" t="s">
        <v>1072</v>
      </c>
      <c r="D217" s="726"/>
      <c r="E217" s="726" t="s">
        <v>1073</v>
      </c>
    </row>
    <row r="218" spans="1:5" ht="29" hidden="1" outlineLevel="5" x14ac:dyDescent="0.35">
      <c r="A218" s="737" t="s">
        <v>1074</v>
      </c>
      <c r="B218" s="728">
        <v>6</v>
      </c>
      <c r="C218" s="729" t="s">
        <v>1075</v>
      </c>
      <c r="D218" s="729"/>
      <c r="E218" s="726" t="s">
        <v>1076</v>
      </c>
    </row>
    <row r="219" spans="1:5" ht="29" hidden="1" outlineLevel="5" x14ac:dyDescent="0.35">
      <c r="A219" s="731" t="s">
        <v>1077</v>
      </c>
      <c r="B219" s="728">
        <v>6</v>
      </c>
      <c r="C219" s="729" t="s">
        <v>1078</v>
      </c>
      <c r="D219" s="729"/>
      <c r="E219" s="726" t="s">
        <v>1079</v>
      </c>
    </row>
    <row r="220" spans="1:5" ht="29" hidden="1" outlineLevel="4" x14ac:dyDescent="0.35">
      <c r="A220" s="731" t="s">
        <v>1080</v>
      </c>
      <c r="B220" s="728">
        <v>5</v>
      </c>
      <c r="C220" s="726" t="s">
        <v>1081</v>
      </c>
      <c r="D220" s="726"/>
      <c r="E220" s="726" t="s">
        <v>1082</v>
      </c>
    </row>
    <row r="221" spans="1:5" ht="29" hidden="1" outlineLevel="5" x14ac:dyDescent="0.35">
      <c r="A221" s="731" t="s">
        <v>1083</v>
      </c>
      <c r="B221" s="728">
        <v>6</v>
      </c>
      <c r="C221" s="729" t="s">
        <v>1075</v>
      </c>
      <c r="D221" s="729"/>
      <c r="E221" s="726" t="s">
        <v>1084</v>
      </c>
    </row>
    <row r="222" spans="1:5" ht="29" hidden="1" outlineLevel="5" x14ac:dyDescent="0.35">
      <c r="A222" s="731" t="s">
        <v>1085</v>
      </c>
      <c r="B222" s="728">
        <v>6</v>
      </c>
      <c r="C222" s="729" t="s">
        <v>1078</v>
      </c>
      <c r="D222" s="729"/>
      <c r="E222" s="726" t="s">
        <v>1086</v>
      </c>
    </row>
    <row r="223" spans="1:5" ht="29" hidden="1" outlineLevel="4" x14ac:dyDescent="0.35">
      <c r="A223" s="731" t="s">
        <v>1087</v>
      </c>
      <c r="B223" s="728">
        <v>5</v>
      </c>
      <c r="C223" s="726" t="s">
        <v>1088</v>
      </c>
      <c r="D223" s="726"/>
      <c r="E223" s="726" t="s">
        <v>1089</v>
      </c>
    </row>
    <row r="224" spans="1:5" ht="29" hidden="1" outlineLevel="5" x14ac:dyDescent="0.35">
      <c r="A224" s="731" t="s">
        <v>1090</v>
      </c>
      <c r="B224" s="728">
        <v>6</v>
      </c>
      <c r="C224" s="729" t="s">
        <v>1091</v>
      </c>
      <c r="D224" s="729"/>
      <c r="E224" s="726" t="s">
        <v>1092</v>
      </c>
    </row>
    <row r="225" spans="1:5" ht="29" hidden="1" outlineLevel="5" x14ac:dyDescent="0.35">
      <c r="A225" s="731" t="s">
        <v>1093</v>
      </c>
      <c r="B225" s="728">
        <v>6</v>
      </c>
      <c r="C225" s="729" t="s">
        <v>1094</v>
      </c>
      <c r="D225" s="729"/>
      <c r="E225" s="726" t="s">
        <v>1095</v>
      </c>
    </row>
    <row r="226" spans="1:5" hidden="1" outlineLevel="5" x14ac:dyDescent="0.35">
      <c r="A226" s="731" t="s">
        <v>1096</v>
      </c>
      <c r="B226" s="728">
        <v>6</v>
      </c>
      <c r="C226" s="729" t="s">
        <v>1097</v>
      </c>
      <c r="D226" s="729"/>
      <c r="E226" s="726" t="s">
        <v>1098</v>
      </c>
    </row>
    <row r="227" spans="1:5" ht="29" outlineLevel="2" collapsed="1" x14ac:dyDescent="0.35">
      <c r="A227" s="695" t="s">
        <v>1099</v>
      </c>
      <c r="B227" s="723">
        <v>3</v>
      </c>
      <c r="C227" s="724" t="s">
        <v>1100</v>
      </c>
      <c r="D227" s="755">
        <f>'CBS ($ per kW)'!P18</f>
        <v>78.979591836734699</v>
      </c>
      <c r="E227" s="724" t="s">
        <v>1101</v>
      </c>
    </row>
    <row r="228" spans="1:5" ht="29" hidden="1" outlineLevel="3" x14ac:dyDescent="0.35">
      <c r="A228" s="695" t="s">
        <v>1102</v>
      </c>
      <c r="B228" s="723">
        <v>4</v>
      </c>
      <c r="C228" s="724" t="s">
        <v>1103</v>
      </c>
      <c r="D228" s="724"/>
      <c r="E228" s="724" t="s">
        <v>1104</v>
      </c>
    </row>
    <row r="229" spans="1:5" ht="29" hidden="1" outlineLevel="3" x14ac:dyDescent="0.35">
      <c r="A229" s="695" t="s">
        <v>1105</v>
      </c>
      <c r="B229" s="723">
        <v>4</v>
      </c>
      <c r="C229" s="724" t="s">
        <v>1106</v>
      </c>
      <c r="D229" s="724"/>
      <c r="E229" s="724" t="s">
        <v>1107</v>
      </c>
    </row>
    <row r="230" spans="1:5" ht="29" hidden="1" outlineLevel="3" x14ac:dyDescent="0.35">
      <c r="A230" s="695" t="s">
        <v>1108</v>
      </c>
      <c r="B230" s="723">
        <v>4</v>
      </c>
      <c r="C230" s="724" t="s">
        <v>1109</v>
      </c>
      <c r="D230" s="724"/>
      <c r="E230" s="724" t="s">
        <v>1110</v>
      </c>
    </row>
    <row r="231" spans="1:5" ht="87" hidden="1" outlineLevel="3" x14ac:dyDescent="0.35">
      <c r="A231" s="695" t="s">
        <v>1111</v>
      </c>
      <c r="B231" s="723">
        <v>4</v>
      </c>
      <c r="C231" s="724" t="s">
        <v>1112</v>
      </c>
      <c r="D231" s="724"/>
      <c r="E231" s="724" t="s">
        <v>1113</v>
      </c>
    </row>
    <row r="232" spans="1:5" ht="29" hidden="1" outlineLevel="3" x14ac:dyDescent="0.35">
      <c r="A232" s="695" t="s">
        <v>1114</v>
      </c>
      <c r="B232" s="723">
        <v>4</v>
      </c>
      <c r="C232" s="724" t="s">
        <v>1115</v>
      </c>
      <c r="D232" s="724"/>
      <c r="E232" s="724" t="s">
        <v>1116</v>
      </c>
    </row>
    <row r="233" spans="1:5" ht="29" outlineLevel="2" collapsed="1" x14ac:dyDescent="0.35">
      <c r="A233" s="695" t="s">
        <v>1117</v>
      </c>
      <c r="B233" s="723">
        <v>3</v>
      </c>
      <c r="C233" s="724" t="s">
        <v>1118</v>
      </c>
      <c r="D233" s="755">
        <f>'CBS ($ per kW)'!P20</f>
        <v>481.9362244897959</v>
      </c>
      <c r="E233" s="724" t="s">
        <v>1119</v>
      </c>
    </row>
    <row r="234" spans="1:5" ht="29" hidden="1" outlineLevel="3" x14ac:dyDescent="0.35">
      <c r="A234" s="695" t="s">
        <v>1120</v>
      </c>
      <c r="B234" s="723">
        <v>4</v>
      </c>
      <c r="C234" s="724" t="s">
        <v>1121</v>
      </c>
      <c r="D234" s="724"/>
      <c r="E234" s="724" t="s">
        <v>1122</v>
      </c>
    </row>
    <row r="235" spans="1:5" hidden="1" outlineLevel="4" x14ac:dyDescent="0.35">
      <c r="A235" s="695" t="s">
        <v>1123</v>
      </c>
      <c r="B235" s="728">
        <v>5</v>
      </c>
      <c r="C235" s="726" t="s">
        <v>1124</v>
      </c>
      <c r="D235" s="726"/>
      <c r="E235" s="726" t="s">
        <v>1125</v>
      </c>
    </row>
    <row r="236" spans="1:5" ht="29" hidden="1" outlineLevel="4" x14ac:dyDescent="0.35">
      <c r="A236" s="695" t="s">
        <v>1126</v>
      </c>
      <c r="B236" s="728">
        <v>5</v>
      </c>
      <c r="C236" s="726" t="s">
        <v>1127</v>
      </c>
      <c r="D236" s="726"/>
      <c r="E236" s="726" t="s">
        <v>1128</v>
      </c>
    </row>
    <row r="237" spans="1:5" ht="29" hidden="1" outlineLevel="4" x14ac:dyDescent="0.35">
      <c r="A237" s="695" t="s">
        <v>1129</v>
      </c>
      <c r="B237" s="728">
        <v>5</v>
      </c>
      <c r="C237" s="726" t="s">
        <v>1130</v>
      </c>
      <c r="D237" s="726"/>
      <c r="E237" s="726" t="s">
        <v>1131</v>
      </c>
    </row>
    <row r="238" spans="1:5" ht="29" hidden="1" outlineLevel="4" x14ac:dyDescent="0.35">
      <c r="A238" s="695" t="s">
        <v>1132</v>
      </c>
      <c r="B238" s="728">
        <v>5</v>
      </c>
      <c r="C238" s="726" t="s">
        <v>1133</v>
      </c>
      <c r="D238" s="726"/>
      <c r="E238" s="726" t="s">
        <v>1134</v>
      </c>
    </row>
    <row r="239" spans="1:5" hidden="1" outlineLevel="3" x14ac:dyDescent="0.35">
      <c r="A239" s="695" t="s">
        <v>1135</v>
      </c>
      <c r="B239" s="723">
        <v>4</v>
      </c>
      <c r="C239" s="724" t="s">
        <v>1136</v>
      </c>
      <c r="D239" s="724"/>
      <c r="E239" s="724" t="s">
        <v>1137</v>
      </c>
    </row>
    <row r="240" spans="1:5" ht="29" hidden="1" outlineLevel="4" x14ac:dyDescent="0.35">
      <c r="A240" s="695" t="s">
        <v>1138</v>
      </c>
      <c r="B240" s="728">
        <v>5</v>
      </c>
      <c r="C240" s="726" t="s">
        <v>1139</v>
      </c>
      <c r="D240" s="726"/>
      <c r="E240" s="726" t="s">
        <v>1140</v>
      </c>
    </row>
    <row r="241" spans="1:5" ht="29" hidden="1" outlineLevel="4" x14ac:dyDescent="0.35">
      <c r="A241" s="695" t="s">
        <v>1141</v>
      </c>
      <c r="B241" s="728">
        <v>5</v>
      </c>
      <c r="C241" s="726" t="s">
        <v>1142</v>
      </c>
      <c r="D241" s="726"/>
      <c r="E241" s="726" t="s">
        <v>1143</v>
      </c>
    </row>
    <row r="242" spans="1:5" ht="29" hidden="1" outlineLevel="4" x14ac:dyDescent="0.35">
      <c r="A242" s="695" t="s">
        <v>1144</v>
      </c>
      <c r="B242" s="728">
        <v>5</v>
      </c>
      <c r="C242" s="726" t="s">
        <v>1145</v>
      </c>
      <c r="D242" s="726"/>
      <c r="E242" s="726" t="s">
        <v>1146</v>
      </c>
    </row>
    <row r="243" spans="1:5" ht="29" hidden="1" outlineLevel="4" x14ac:dyDescent="0.35">
      <c r="A243" s="695" t="s">
        <v>1147</v>
      </c>
      <c r="B243" s="728">
        <v>5</v>
      </c>
      <c r="C243" s="726" t="s">
        <v>1148</v>
      </c>
      <c r="D243" s="726"/>
      <c r="E243" s="726" t="s">
        <v>1149</v>
      </c>
    </row>
    <row r="244" spans="1:5" ht="29" hidden="1" outlineLevel="4" x14ac:dyDescent="0.35">
      <c r="A244" s="695" t="s">
        <v>1150</v>
      </c>
      <c r="B244" s="728">
        <v>5</v>
      </c>
      <c r="C244" s="726" t="s">
        <v>1151</v>
      </c>
      <c r="D244" s="726"/>
      <c r="E244" s="726" t="s">
        <v>1152</v>
      </c>
    </row>
    <row r="245" spans="1:5" ht="29" hidden="1" outlineLevel="4" x14ac:dyDescent="0.35">
      <c r="A245" s="695" t="s">
        <v>1153</v>
      </c>
      <c r="B245" s="728">
        <v>5</v>
      </c>
      <c r="C245" s="726" t="s">
        <v>1154</v>
      </c>
      <c r="D245" s="726"/>
      <c r="E245" s="726" t="s">
        <v>1155</v>
      </c>
    </row>
    <row r="246" spans="1:5" ht="29" hidden="1" outlineLevel="3" x14ac:dyDescent="0.35">
      <c r="A246" s="695" t="s">
        <v>1156</v>
      </c>
      <c r="B246" s="723">
        <v>4</v>
      </c>
      <c r="C246" s="724" t="s">
        <v>1157</v>
      </c>
      <c r="D246" s="724"/>
      <c r="E246" s="724" t="s">
        <v>1158</v>
      </c>
    </row>
    <row r="247" spans="1:5" ht="29" hidden="1" outlineLevel="4" x14ac:dyDescent="0.35">
      <c r="A247" s="731" t="s">
        <v>1159</v>
      </c>
      <c r="B247" s="728">
        <v>5</v>
      </c>
      <c r="C247" s="726" t="s">
        <v>1160</v>
      </c>
      <c r="D247" s="726"/>
      <c r="E247" s="726" t="s">
        <v>1161</v>
      </c>
    </row>
    <row r="248" spans="1:5" hidden="1" outlineLevel="4" x14ac:dyDescent="0.35">
      <c r="A248" s="731" t="s">
        <v>1162</v>
      </c>
      <c r="B248" s="728">
        <v>5</v>
      </c>
      <c r="C248" s="726" t="s">
        <v>1163</v>
      </c>
      <c r="D248" s="726"/>
      <c r="E248" s="726" t="s">
        <v>1164</v>
      </c>
    </row>
    <row r="249" spans="1:5" hidden="1" outlineLevel="4" x14ac:dyDescent="0.35">
      <c r="A249" s="731" t="s">
        <v>1165</v>
      </c>
      <c r="B249" s="728">
        <v>5</v>
      </c>
      <c r="C249" s="726" t="s">
        <v>1166</v>
      </c>
      <c r="D249" s="726"/>
      <c r="E249" s="726" t="s">
        <v>1167</v>
      </c>
    </row>
    <row r="250" spans="1:5" ht="29" hidden="1" outlineLevel="4" x14ac:dyDescent="0.35">
      <c r="A250" s="731" t="s">
        <v>1168</v>
      </c>
      <c r="B250" s="728">
        <v>5</v>
      </c>
      <c r="C250" s="726" t="s">
        <v>1169</v>
      </c>
      <c r="D250" s="726"/>
      <c r="E250" s="726" t="s">
        <v>1170</v>
      </c>
    </row>
    <row r="251" spans="1:5" ht="29" hidden="1" outlineLevel="4" x14ac:dyDescent="0.35">
      <c r="A251" s="731" t="s">
        <v>1171</v>
      </c>
      <c r="B251" s="728">
        <v>5</v>
      </c>
      <c r="C251" s="726" t="s">
        <v>1133</v>
      </c>
      <c r="D251" s="726"/>
      <c r="E251" s="726" t="s">
        <v>1172</v>
      </c>
    </row>
    <row r="252" spans="1:5" hidden="1" outlineLevel="3" x14ac:dyDescent="0.35">
      <c r="A252" s="731" t="s">
        <v>1173</v>
      </c>
      <c r="B252" s="723">
        <v>4</v>
      </c>
      <c r="C252" s="724" t="s">
        <v>501</v>
      </c>
      <c r="D252" s="724"/>
      <c r="E252" s="724" t="s">
        <v>1174</v>
      </c>
    </row>
    <row r="253" spans="1:5" ht="29" hidden="1" outlineLevel="4" x14ac:dyDescent="0.35">
      <c r="A253" s="731" t="s">
        <v>1175</v>
      </c>
      <c r="B253" s="728">
        <v>5</v>
      </c>
      <c r="C253" s="726" t="s">
        <v>1176</v>
      </c>
      <c r="D253" s="726"/>
      <c r="E253" s="726" t="s">
        <v>1177</v>
      </c>
    </row>
    <row r="254" spans="1:5" ht="29" hidden="1" outlineLevel="4" x14ac:dyDescent="0.35">
      <c r="A254" s="731" t="s">
        <v>1178</v>
      </c>
      <c r="B254" s="728">
        <v>5</v>
      </c>
      <c r="C254" s="726" t="s">
        <v>1179</v>
      </c>
      <c r="D254" s="726"/>
      <c r="E254" s="726" t="s">
        <v>1180</v>
      </c>
    </row>
    <row r="255" spans="1:5" ht="29" hidden="1" outlineLevel="4" x14ac:dyDescent="0.35">
      <c r="A255" s="731" t="s">
        <v>1181</v>
      </c>
      <c r="B255" s="728">
        <v>5</v>
      </c>
      <c r="C255" s="726" t="s">
        <v>1182</v>
      </c>
      <c r="D255" s="726"/>
      <c r="E255" s="726" t="s">
        <v>508</v>
      </c>
    </row>
    <row r="256" spans="1:5" ht="29" hidden="1" outlineLevel="4" x14ac:dyDescent="0.35">
      <c r="A256" s="731" t="s">
        <v>1183</v>
      </c>
      <c r="B256" s="728">
        <v>5</v>
      </c>
      <c r="C256" s="726" t="s">
        <v>1184</v>
      </c>
      <c r="D256" s="726"/>
      <c r="E256" s="726" t="s">
        <v>1185</v>
      </c>
    </row>
    <row r="257" spans="1:7" ht="29" hidden="1" outlineLevel="3" x14ac:dyDescent="0.35">
      <c r="A257" s="731" t="s">
        <v>1186</v>
      </c>
      <c r="B257" s="723">
        <v>4</v>
      </c>
      <c r="C257" s="724" t="s">
        <v>1187</v>
      </c>
      <c r="D257" s="724"/>
      <c r="E257" s="724" t="s">
        <v>1188</v>
      </c>
    </row>
    <row r="258" spans="1:7" ht="58" hidden="1" outlineLevel="3" x14ac:dyDescent="0.35">
      <c r="A258" s="731" t="s">
        <v>1189</v>
      </c>
      <c r="B258" s="723">
        <v>4</v>
      </c>
      <c r="C258" s="724" t="s">
        <v>1190</v>
      </c>
      <c r="D258" s="724"/>
      <c r="E258" s="724" t="s">
        <v>1191</v>
      </c>
    </row>
    <row r="259" spans="1:7" ht="43.5" hidden="1" outlineLevel="3" x14ac:dyDescent="0.35">
      <c r="A259" s="731" t="s">
        <v>1192</v>
      </c>
      <c r="B259" s="723">
        <v>4</v>
      </c>
      <c r="C259" s="724" t="s">
        <v>1193</v>
      </c>
      <c r="D259" s="724"/>
      <c r="E259" s="724" t="s">
        <v>1194</v>
      </c>
    </row>
    <row r="260" spans="1:7" ht="58" outlineLevel="1" x14ac:dyDescent="0.35">
      <c r="A260" s="408">
        <v>1.3</v>
      </c>
      <c r="B260" s="723">
        <v>2</v>
      </c>
      <c r="C260" s="724" t="s">
        <v>1195</v>
      </c>
      <c r="D260" s="759">
        <f>SUM(D261:D264)</f>
        <v>517.87625156287936</v>
      </c>
      <c r="E260" s="724" t="s">
        <v>1196</v>
      </c>
    </row>
    <row r="261" spans="1:7" ht="58" outlineLevel="2" x14ac:dyDescent="0.35">
      <c r="A261" s="695" t="s">
        <v>19</v>
      </c>
      <c r="B261" s="723">
        <v>3</v>
      </c>
      <c r="C261" s="724" t="s">
        <v>1197</v>
      </c>
      <c r="D261" s="760">
        <f>'CBS ($ per kW)'!P46</f>
        <v>517.87625156287936</v>
      </c>
      <c r="E261" s="724" t="s">
        <v>1198</v>
      </c>
    </row>
    <row r="262" spans="1:7" ht="72.5" outlineLevel="2" x14ac:dyDescent="0.35">
      <c r="A262" s="695" t="s">
        <v>21</v>
      </c>
      <c r="B262" s="723">
        <v>3</v>
      </c>
      <c r="C262" s="724" t="s">
        <v>1199</v>
      </c>
      <c r="D262" s="758">
        <v>0</v>
      </c>
      <c r="E262" s="724" t="s">
        <v>1200</v>
      </c>
    </row>
    <row r="263" spans="1:7" ht="29" outlineLevel="2" x14ac:dyDescent="0.35">
      <c r="A263" s="695" t="s">
        <v>23</v>
      </c>
      <c r="B263" s="723">
        <v>3</v>
      </c>
      <c r="C263" s="724" t="s">
        <v>1201</v>
      </c>
      <c r="D263" s="758">
        <v>0</v>
      </c>
      <c r="E263" s="724" t="s">
        <v>1202</v>
      </c>
    </row>
    <row r="264" spans="1:7" ht="29" outlineLevel="2" collapsed="1" x14ac:dyDescent="0.35">
      <c r="A264" s="695" t="s">
        <v>24</v>
      </c>
      <c r="B264" s="723">
        <v>3</v>
      </c>
      <c r="C264" s="724" t="s">
        <v>1203</v>
      </c>
      <c r="D264" s="758">
        <v>0</v>
      </c>
      <c r="E264" s="724" t="s">
        <v>1204</v>
      </c>
    </row>
    <row r="265" spans="1:7" ht="43.5" hidden="1" outlineLevel="3" x14ac:dyDescent="0.35">
      <c r="A265" s="695" t="s">
        <v>1205</v>
      </c>
      <c r="B265" s="738">
        <v>4</v>
      </c>
      <c r="C265" s="739" t="s">
        <v>1206</v>
      </c>
      <c r="D265" s="739"/>
      <c r="E265" s="739" t="s">
        <v>1207</v>
      </c>
    </row>
    <row r="266" spans="1:7" ht="43.5" hidden="1" outlineLevel="3" x14ac:dyDescent="0.35">
      <c r="A266" s="695" t="s">
        <v>1208</v>
      </c>
      <c r="B266" s="738">
        <v>4</v>
      </c>
      <c r="C266" s="739" t="s">
        <v>1209</v>
      </c>
      <c r="D266" s="739"/>
      <c r="E266" s="739" t="s">
        <v>1210</v>
      </c>
    </row>
    <row r="267" spans="1:7" ht="43.5" hidden="1" outlineLevel="3" x14ac:dyDescent="0.35">
      <c r="A267" s="695" t="s">
        <v>1211</v>
      </c>
      <c r="B267" s="738">
        <v>4</v>
      </c>
      <c r="C267" s="739" t="s">
        <v>1212</v>
      </c>
      <c r="D267" s="740"/>
      <c r="E267" s="739" t="s">
        <v>1213</v>
      </c>
    </row>
    <row r="268" spans="1:7" x14ac:dyDescent="0.35">
      <c r="A268" s="695"/>
      <c r="B268" s="695"/>
      <c r="C268" s="695"/>
      <c r="D268" s="695"/>
      <c r="E268" s="695"/>
      <c r="F268" s="695"/>
      <c r="G268" s="695"/>
    </row>
    <row r="269" spans="1:7" x14ac:dyDescent="0.35">
      <c r="A269" s="788" t="s">
        <v>1214</v>
      </c>
      <c r="B269" s="788"/>
      <c r="C269" s="788"/>
      <c r="D269" s="788"/>
      <c r="E269" s="788"/>
      <c r="F269" s="720"/>
      <c r="G269" s="720"/>
    </row>
    <row r="270" spans="1:7" x14ac:dyDescent="0.35">
      <c r="A270" s="721" t="s">
        <v>488</v>
      </c>
      <c r="B270" s="721" t="s">
        <v>489</v>
      </c>
      <c r="C270" s="721" t="s">
        <v>101</v>
      </c>
      <c r="D270" s="721"/>
      <c r="E270" s="721" t="s">
        <v>490</v>
      </c>
      <c r="F270" s="695"/>
      <c r="G270" s="695"/>
    </row>
    <row r="271" spans="1:7" ht="29" x14ac:dyDescent="0.35">
      <c r="A271" s="408">
        <v>2</v>
      </c>
      <c r="B271" s="723">
        <v>1</v>
      </c>
      <c r="C271" s="724" t="s">
        <v>1215</v>
      </c>
      <c r="D271" s="755">
        <f>D272+D293</f>
        <v>145.31907969512346</v>
      </c>
      <c r="E271" s="724" t="s">
        <v>1216</v>
      </c>
    </row>
    <row r="272" spans="1:7" ht="29" outlineLevel="1" x14ac:dyDescent="0.35">
      <c r="A272" s="408">
        <v>2.1</v>
      </c>
      <c r="B272" s="723">
        <v>2</v>
      </c>
      <c r="C272" s="724" t="s">
        <v>1217</v>
      </c>
      <c r="D272" s="755">
        <f>SUM(D273:D282)</f>
        <v>36.703174879855609</v>
      </c>
      <c r="E272" s="724" t="s">
        <v>1218</v>
      </c>
    </row>
    <row r="273" spans="1:5" ht="43.5" outlineLevel="2" collapsed="1" x14ac:dyDescent="0.35">
      <c r="A273" s="695" t="s">
        <v>1219</v>
      </c>
      <c r="B273" s="723">
        <v>3</v>
      </c>
      <c r="C273" s="724" t="s">
        <v>1220</v>
      </c>
      <c r="D273" s="755">
        <f>'CBS ($ per kW)'!P52</f>
        <v>11.438775510204081</v>
      </c>
      <c r="E273" s="724" t="s">
        <v>1221</v>
      </c>
    </row>
    <row r="274" spans="1:5" ht="29" hidden="1" outlineLevel="3" x14ac:dyDescent="0.35">
      <c r="A274" s="695" t="s">
        <v>1222</v>
      </c>
      <c r="B274" s="723">
        <v>4</v>
      </c>
      <c r="C274" s="724" t="s">
        <v>1223</v>
      </c>
      <c r="D274" s="724"/>
      <c r="E274" s="724" t="s">
        <v>1224</v>
      </c>
    </row>
    <row r="275" spans="1:5" ht="43.5" hidden="1" outlineLevel="3" x14ac:dyDescent="0.35">
      <c r="A275" s="695" t="s">
        <v>1225</v>
      </c>
      <c r="B275" s="723">
        <v>4</v>
      </c>
      <c r="C275" s="724" t="s">
        <v>1226</v>
      </c>
      <c r="D275" s="724"/>
      <c r="E275" s="724" t="s">
        <v>1227</v>
      </c>
    </row>
    <row r="276" spans="1:5" ht="72.5" outlineLevel="2" collapsed="1" x14ac:dyDescent="0.35">
      <c r="A276" s="695" t="s">
        <v>1228</v>
      </c>
      <c r="B276" s="723">
        <v>3</v>
      </c>
      <c r="C276" s="724" t="s">
        <v>1229</v>
      </c>
      <c r="D276" s="758">
        <v>0</v>
      </c>
      <c r="E276" s="724" t="s">
        <v>1230</v>
      </c>
    </row>
    <row r="277" spans="1:5" ht="43.5" hidden="1" outlineLevel="3" x14ac:dyDescent="0.35">
      <c r="A277" s="695" t="s">
        <v>1231</v>
      </c>
      <c r="B277" s="723">
        <v>4</v>
      </c>
      <c r="C277" s="724" t="s">
        <v>1232</v>
      </c>
      <c r="D277" s="724"/>
      <c r="E277" s="724" t="s">
        <v>1233</v>
      </c>
    </row>
    <row r="278" spans="1:5" ht="29" hidden="1" outlineLevel="3" x14ac:dyDescent="0.35">
      <c r="A278" s="695" t="s">
        <v>1234</v>
      </c>
      <c r="B278" s="723">
        <v>4</v>
      </c>
      <c r="C278" s="724" t="s">
        <v>1235</v>
      </c>
      <c r="D278" s="724"/>
      <c r="E278" s="724" t="s">
        <v>1236</v>
      </c>
    </row>
    <row r="279" spans="1:5" ht="43.5" hidden="1" outlineLevel="3" x14ac:dyDescent="0.35">
      <c r="A279" s="695" t="s">
        <v>1237</v>
      </c>
      <c r="B279" s="723">
        <v>4</v>
      </c>
      <c r="C279" s="724" t="s">
        <v>1238</v>
      </c>
      <c r="D279" s="724"/>
      <c r="E279" s="724" t="s">
        <v>1239</v>
      </c>
    </row>
    <row r="280" spans="1:5" ht="29" hidden="1" outlineLevel="3" x14ac:dyDescent="0.35">
      <c r="A280" s="695" t="s">
        <v>1240</v>
      </c>
      <c r="B280" s="723">
        <v>4</v>
      </c>
      <c r="C280" s="724" t="s">
        <v>1241</v>
      </c>
      <c r="D280" s="724"/>
      <c r="E280" s="724" t="s">
        <v>1242</v>
      </c>
    </row>
    <row r="281" spans="1:5" ht="29" outlineLevel="2" x14ac:dyDescent="0.35">
      <c r="A281" s="695" t="s">
        <v>1243</v>
      </c>
      <c r="B281" s="723">
        <v>3</v>
      </c>
      <c r="C281" s="724" t="s">
        <v>1244</v>
      </c>
      <c r="D281" s="755">
        <f>'CBS ($ per kW)'!P51</f>
        <v>25.264399369651528</v>
      </c>
      <c r="E281" s="724" t="s">
        <v>1245</v>
      </c>
    </row>
    <row r="282" spans="1:5" ht="72.5" outlineLevel="2" collapsed="1" x14ac:dyDescent="0.35">
      <c r="A282" s="695" t="s">
        <v>1246</v>
      </c>
      <c r="B282" s="723">
        <v>3</v>
      </c>
      <c r="C282" s="724" t="s">
        <v>1247</v>
      </c>
      <c r="D282" s="758">
        <v>0</v>
      </c>
      <c r="E282" s="724" t="s">
        <v>1248</v>
      </c>
    </row>
    <row r="283" spans="1:5" ht="29" hidden="1" outlineLevel="3" x14ac:dyDescent="0.35">
      <c r="A283" s="695" t="s">
        <v>1249</v>
      </c>
      <c r="B283" s="723">
        <v>4</v>
      </c>
      <c r="C283" s="724" t="s">
        <v>1250</v>
      </c>
      <c r="D283" s="724"/>
      <c r="E283" s="724" t="s">
        <v>1251</v>
      </c>
    </row>
    <row r="284" spans="1:5" ht="29" hidden="1" outlineLevel="3" x14ac:dyDescent="0.35">
      <c r="A284" s="695" t="s">
        <v>1252</v>
      </c>
      <c r="B284" s="723">
        <v>4</v>
      </c>
      <c r="C284" s="724" t="s">
        <v>1253</v>
      </c>
      <c r="D284" s="724"/>
      <c r="E284" s="724" t="s">
        <v>1254</v>
      </c>
    </row>
    <row r="285" spans="1:5" ht="29" hidden="1" outlineLevel="3" x14ac:dyDescent="0.35">
      <c r="A285" s="695" t="s">
        <v>1255</v>
      </c>
      <c r="B285" s="723">
        <v>4</v>
      </c>
      <c r="C285" s="724" t="s">
        <v>1256</v>
      </c>
      <c r="D285" s="724"/>
      <c r="E285" s="724" t="s">
        <v>1257</v>
      </c>
    </row>
    <row r="286" spans="1:5" ht="58" hidden="1" outlineLevel="3" x14ac:dyDescent="0.35">
      <c r="A286" s="695" t="s">
        <v>1258</v>
      </c>
      <c r="B286" s="723">
        <v>4</v>
      </c>
      <c r="C286" s="724" t="s">
        <v>1259</v>
      </c>
      <c r="D286" s="724"/>
      <c r="E286" s="724" t="s">
        <v>1260</v>
      </c>
    </row>
    <row r="287" spans="1:5" ht="43.5" hidden="1" outlineLevel="3" x14ac:dyDescent="0.35">
      <c r="A287" s="695" t="s">
        <v>1261</v>
      </c>
      <c r="B287" s="723">
        <v>4</v>
      </c>
      <c r="C287" s="724" t="s">
        <v>1262</v>
      </c>
      <c r="D287" s="724"/>
      <c r="E287" s="724" t="s">
        <v>1263</v>
      </c>
    </row>
    <row r="288" spans="1:5" ht="29" hidden="1" outlineLevel="3" x14ac:dyDescent="0.35">
      <c r="A288" s="695" t="s">
        <v>1264</v>
      </c>
      <c r="B288" s="723">
        <v>4</v>
      </c>
      <c r="C288" s="724" t="s">
        <v>1265</v>
      </c>
      <c r="D288" s="724"/>
      <c r="E288" s="724" t="s">
        <v>1266</v>
      </c>
    </row>
    <row r="289" spans="1:5" ht="43.5" hidden="1" outlineLevel="3" x14ac:dyDescent="0.35">
      <c r="A289" s="695" t="s">
        <v>1267</v>
      </c>
      <c r="B289" s="723">
        <v>4</v>
      </c>
      <c r="C289" s="724" t="s">
        <v>1268</v>
      </c>
      <c r="D289" s="724"/>
      <c r="E289" s="724" t="s">
        <v>1269</v>
      </c>
    </row>
    <row r="290" spans="1:5" ht="43.5" hidden="1" outlineLevel="3" x14ac:dyDescent="0.35">
      <c r="A290" s="695" t="s">
        <v>1270</v>
      </c>
      <c r="B290" s="723">
        <v>4</v>
      </c>
      <c r="C290" s="724" t="s">
        <v>1271</v>
      </c>
      <c r="D290" s="724"/>
      <c r="E290" s="724" t="s">
        <v>1272</v>
      </c>
    </row>
    <row r="291" spans="1:5" ht="29" hidden="1" outlineLevel="3" x14ac:dyDescent="0.35">
      <c r="A291" s="695" t="s">
        <v>1273</v>
      </c>
      <c r="B291" s="723">
        <v>4</v>
      </c>
      <c r="C291" s="724" t="s">
        <v>1274</v>
      </c>
      <c r="D291" s="724"/>
      <c r="E291" s="724" t="s">
        <v>1275</v>
      </c>
    </row>
    <row r="292" spans="1:5" ht="29" hidden="1" outlineLevel="3" x14ac:dyDescent="0.35">
      <c r="A292" s="695" t="s">
        <v>1276</v>
      </c>
      <c r="B292" s="723">
        <v>4</v>
      </c>
      <c r="C292" s="724" t="s">
        <v>647</v>
      </c>
      <c r="D292" s="724"/>
      <c r="E292" s="724" t="s">
        <v>1277</v>
      </c>
    </row>
    <row r="293" spans="1:5" ht="29" outlineLevel="1" x14ac:dyDescent="0.35">
      <c r="A293" s="408">
        <v>2.2000000000000002</v>
      </c>
      <c r="B293" s="723">
        <v>2</v>
      </c>
      <c r="C293" s="724" t="s">
        <v>1278</v>
      </c>
      <c r="D293" s="761">
        <f>SUM(D294:D305)</f>
        <v>108.61590481526785</v>
      </c>
      <c r="E293" s="724" t="s">
        <v>1279</v>
      </c>
    </row>
    <row r="294" spans="1:5" ht="87" outlineLevel="2" x14ac:dyDescent="0.35">
      <c r="A294" s="695" t="s">
        <v>1280</v>
      </c>
      <c r="B294" s="723">
        <v>3</v>
      </c>
      <c r="C294" s="724" t="s">
        <v>1281</v>
      </c>
      <c r="D294" s="758">
        <v>0</v>
      </c>
      <c r="E294" s="724" t="s">
        <v>1282</v>
      </c>
    </row>
    <row r="295" spans="1:5" ht="87" outlineLevel="2" collapsed="1" x14ac:dyDescent="0.35">
      <c r="A295" s="695" t="s">
        <v>1283</v>
      </c>
      <c r="B295" s="723">
        <v>3</v>
      </c>
      <c r="C295" s="724" t="s">
        <v>1284</v>
      </c>
      <c r="D295" s="759">
        <f>('CBS ($ per kW)'!P53+'CBS ($ per kW)'!P54+'CBS ($ per kW)'!P55+'CBS ($ per kW)'!P56)/2</f>
        <v>54.307952407633927</v>
      </c>
      <c r="E295" s="724" t="s">
        <v>1285</v>
      </c>
    </row>
    <row r="296" spans="1:5" ht="29" hidden="1" outlineLevel="3" x14ac:dyDescent="0.35">
      <c r="A296" s="695" t="s">
        <v>1286</v>
      </c>
      <c r="B296" s="723">
        <v>4</v>
      </c>
      <c r="C296" s="724" t="s">
        <v>1287</v>
      </c>
      <c r="D296" s="724"/>
      <c r="E296" s="724" t="s">
        <v>1288</v>
      </c>
    </row>
    <row r="297" spans="1:5" hidden="1" outlineLevel="4" x14ac:dyDescent="0.35">
      <c r="A297" s="695" t="s">
        <v>1289</v>
      </c>
      <c r="B297" s="728">
        <v>5</v>
      </c>
      <c r="C297" s="726" t="s">
        <v>1290</v>
      </c>
      <c r="D297" s="726"/>
      <c r="E297" s="726" t="s">
        <v>1291</v>
      </c>
    </row>
    <row r="298" spans="1:5" ht="29" hidden="1" outlineLevel="4" x14ac:dyDescent="0.35">
      <c r="A298" s="695" t="s">
        <v>1292</v>
      </c>
      <c r="B298" s="728">
        <v>5</v>
      </c>
      <c r="C298" s="726" t="s">
        <v>1293</v>
      </c>
      <c r="D298" s="726"/>
      <c r="E298" s="726" t="s">
        <v>1294</v>
      </c>
    </row>
    <row r="299" spans="1:5" hidden="1" outlineLevel="3" x14ac:dyDescent="0.35">
      <c r="A299" s="695" t="s">
        <v>1295</v>
      </c>
      <c r="B299" s="723">
        <v>4</v>
      </c>
      <c r="C299" s="724" t="s">
        <v>1296</v>
      </c>
      <c r="D299" s="724"/>
      <c r="E299" s="724" t="s">
        <v>1297</v>
      </c>
    </row>
    <row r="300" spans="1:5" ht="29" hidden="1" outlineLevel="4" x14ac:dyDescent="0.35">
      <c r="A300" s="76" t="s">
        <v>1298</v>
      </c>
      <c r="B300" s="728">
        <v>5</v>
      </c>
      <c r="C300" s="726" t="s">
        <v>1299</v>
      </c>
      <c r="D300" s="726"/>
      <c r="E300" s="726" t="s">
        <v>1300</v>
      </c>
    </row>
    <row r="301" spans="1:5" ht="43.5" hidden="1" outlineLevel="4" x14ac:dyDescent="0.35">
      <c r="A301" s="76" t="s">
        <v>1301</v>
      </c>
      <c r="B301" s="728">
        <v>5</v>
      </c>
      <c r="C301" s="726" t="s">
        <v>1302</v>
      </c>
      <c r="D301" s="726"/>
      <c r="E301" s="726" t="s">
        <v>1303</v>
      </c>
    </row>
    <row r="302" spans="1:5" ht="29" hidden="1" outlineLevel="4" x14ac:dyDescent="0.35">
      <c r="A302" s="76" t="s">
        <v>1304</v>
      </c>
      <c r="B302" s="728">
        <v>5</v>
      </c>
      <c r="C302" s="726" t="s">
        <v>1305</v>
      </c>
      <c r="D302" s="726"/>
      <c r="E302" s="726" t="s">
        <v>1306</v>
      </c>
    </row>
    <row r="303" spans="1:5" ht="29" hidden="1" outlineLevel="4" x14ac:dyDescent="0.35">
      <c r="A303" s="76" t="s">
        <v>1307</v>
      </c>
      <c r="B303" s="728">
        <v>5</v>
      </c>
      <c r="C303" s="726" t="s">
        <v>1308</v>
      </c>
      <c r="D303" s="726"/>
      <c r="E303" s="726" t="s">
        <v>1309</v>
      </c>
    </row>
    <row r="304" spans="1:5" ht="29" hidden="1" outlineLevel="4" x14ac:dyDescent="0.35">
      <c r="A304" s="76" t="s">
        <v>1310</v>
      </c>
      <c r="B304" s="728">
        <v>5</v>
      </c>
      <c r="C304" s="726" t="s">
        <v>1311</v>
      </c>
      <c r="D304" s="726"/>
      <c r="E304" s="726" t="s">
        <v>1312</v>
      </c>
    </row>
    <row r="305" spans="1:7" ht="58" outlineLevel="2" collapsed="1" x14ac:dyDescent="0.35">
      <c r="A305" s="695" t="s">
        <v>1313</v>
      </c>
      <c r="B305" s="723">
        <v>3</v>
      </c>
      <c r="C305" s="724" t="s">
        <v>1314</v>
      </c>
      <c r="D305" s="761">
        <f>D295</f>
        <v>54.307952407633927</v>
      </c>
      <c r="E305" s="724" t="s">
        <v>1315</v>
      </c>
    </row>
    <row r="306" spans="1:7" ht="29" hidden="1" outlineLevel="3" x14ac:dyDescent="0.35">
      <c r="A306" s="695" t="s">
        <v>1316</v>
      </c>
      <c r="B306" s="741">
        <v>4</v>
      </c>
      <c r="C306" s="742" t="s">
        <v>1317</v>
      </c>
      <c r="D306" s="742"/>
      <c r="E306" s="742" t="s">
        <v>1318</v>
      </c>
    </row>
    <row r="307" spans="1:7" ht="29.5" hidden="1" outlineLevel="4" thickBot="1" x14ac:dyDescent="0.4">
      <c r="A307" s="695" t="s">
        <v>1319</v>
      </c>
      <c r="B307" s="743">
        <v>5</v>
      </c>
      <c r="C307" s="744" t="s">
        <v>1320</v>
      </c>
      <c r="D307" s="745"/>
      <c r="E307" s="744" t="s">
        <v>1321</v>
      </c>
    </row>
    <row r="308" spans="1:7" ht="29" hidden="1" outlineLevel="4" x14ac:dyDescent="0.35">
      <c r="A308" s="695" t="s">
        <v>1322</v>
      </c>
      <c r="B308" s="746">
        <v>5</v>
      </c>
      <c r="C308" s="745" t="s">
        <v>1323</v>
      </c>
      <c r="D308" s="745"/>
      <c r="E308" s="745" t="s">
        <v>1324</v>
      </c>
    </row>
    <row r="309" spans="1:7" hidden="1" outlineLevel="3" x14ac:dyDescent="0.35">
      <c r="A309" s="695" t="s">
        <v>1325</v>
      </c>
      <c r="B309" s="741">
        <v>4</v>
      </c>
      <c r="C309" s="742" t="s">
        <v>1326</v>
      </c>
      <c r="D309" s="742"/>
      <c r="E309" s="742" t="s">
        <v>1327</v>
      </c>
    </row>
    <row r="310" spans="1:7" ht="44" hidden="1" outlineLevel="4" thickBot="1" x14ac:dyDescent="0.4">
      <c r="A310" s="76" t="s">
        <v>1328</v>
      </c>
      <c r="B310" s="743">
        <v>5</v>
      </c>
      <c r="C310" s="744" t="s">
        <v>1302</v>
      </c>
      <c r="D310" s="745"/>
      <c r="E310" s="744" t="s">
        <v>1303</v>
      </c>
    </row>
    <row r="311" spans="1:7" ht="29.5" hidden="1" outlineLevel="4" thickBot="1" x14ac:dyDescent="0.4">
      <c r="A311" s="76" t="s">
        <v>1329</v>
      </c>
      <c r="B311" s="743">
        <v>5</v>
      </c>
      <c r="C311" s="744" t="s">
        <v>1305</v>
      </c>
      <c r="D311" s="745"/>
      <c r="E311" s="744" t="s">
        <v>1306</v>
      </c>
    </row>
    <row r="312" spans="1:7" ht="29.5" hidden="1" outlineLevel="4" thickBot="1" x14ac:dyDescent="0.4">
      <c r="A312" s="76" t="s">
        <v>1330</v>
      </c>
      <c r="B312" s="743">
        <v>5</v>
      </c>
      <c r="C312" s="744" t="s">
        <v>1308</v>
      </c>
      <c r="D312" s="745"/>
      <c r="E312" s="744" t="s">
        <v>1309</v>
      </c>
    </row>
    <row r="313" spans="1:7" ht="29.5" hidden="1" outlineLevel="4" thickBot="1" x14ac:dyDescent="0.4">
      <c r="A313" s="76" t="s">
        <v>1331</v>
      </c>
      <c r="B313" s="743">
        <v>5</v>
      </c>
      <c r="C313" s="744" t="s">
        <v>1311</v>
      </c>
      <c r="D313" s="745"/>
      <c r="E313" s="744" t="s">
        <v>1312</v>
      </c>
    </row>
    <row r="314" spans="1:7" ht="29" hidden="1" outlineLevel="3" x14ac:dyDescent="0.35">
      <c r="A314" s="76" t="s">
        <v>1332</v>
      </c>
      <c r="B314" s="741">
        <v>4</v>
      </c>
      <c r="C314" s="742" t="s">
        <v>1333</v>
      </c>
      <c r="D314" s="742"/>
      <c r="E314" s="742" t="s">
        <v>1334</v>
      </c>
    </row>
    <row r="315" spans="1:7" x14ac:dyDescent="0.35">
      <c r="A315" s="695"/>
      <c r="B315" s="705"/>
      <c r="C315" s="695"/>
      <c r="D315" s="695"/>
      <c r="E315" s="695"/>
      <c r="F315" s="695"/>
      <c r="G315" s="695"/>
    </row>
    <row r="316" spans="1:7" x14ac:dyDescent="0.35">
      <c r="A316" s="747" t="s">
        <v>1335</v>
      </c>
      <c r="B316" s="748"/>
      <c r="C316" s="749"/>
      <c r="D316" s="750"/>
      <c r="E316" s="750"/>
    </row>
    <row r="317" spans="1:7" x14ac:dyDescent="0.35">
      <c r="A317" s="751" t="s">
        <v>1336</v>
      </c>
      <c r="B317" s="751"/>
      <c r="C317" s="752"/>
      <c r="D317" s="750"/>
      <c r="E317" s="750"/>
    </row>
  </sheetData>
  <mergeCells count="4">
    <mergeCell ref="A3:E3"/>
    <mergeCell ref="B4:E4"/>
    <mergeCell ref="A6:E6"/>
    <mergeCell ref="A269:E269"/>
  </mergeCells>
  <conditionalFormatting sqref="C2:E2">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onditionalFormatting>
  <conditionalFormatting sqref="B8:E8">
    <cfRule type="expression" dxfId="1" priority="2">
      <formula>#REF!=1</formula>
    </cfRule>
  </conditionalFormatting>
  <conditionalFormatting sqref="B226">
    <cfRule type="cellIs" dxfId="0" priority="1" operator="equal">
      <formula>5</formula>
    </cfRule>
  </conditionalFormatting>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0"/>
  <sheetViews>
    <sheetView zoomScale="80" zoomScaleNormal="80" workbookViewId="0">
      <selection activeCell="I20" sqref="I20"/>
    </sheetView>
  </sheetViews>
  <sheetFormatPr defaultRowHeight="14.5" x14ac:dyDescent="0.35"/>
  <cols>
    <col min="1" max="1" width="35.6328125" customWidth="1"/>
    <col min="2" max="2" width="30.90625" customWidth="1"/>
    <col min="3" max="3" width="21.36328125" customWidth="1"/>
    <col min="4" max="5" width="14.6328125" customWidth="1"/>
    <col min="6" max="7" width="12.6328125" customWidth="1"/>
    <col min="8" max="8" width="35.6328125" customWidth="1"/>
    <col min="9" max="14" width="12.6328125" customWidth="1"/>
  </cols>
  <sheetData>
    <row r="2" spans="1:14" x14ac:dyDescent="0.35">
      <c r="A2" s="245" t="s">
        <v>200</v>
      </c>
      <c r="B2">
        <v>0</v>
      </c>
      <c r="C2" t="s">
        <v>201</v>
      </c>
      <c r="D2" s="240"/>
      <c r="E2" s="240"/>
    </row>
    <row r="3" spans="1:14" x14ac:dyDescent="0.35">
      <c r="A3" s="240" t="s">
        <v>199</v>
      </c>
      <c r="B3" s="240">
        <v>1000</v>
      </c>
      <c r="C3" s="240"/>
      <c r="D3" s="238"/>
      <c r="E3" s="233"/>
    </row>
    <row r="4" spans="1:14" x14ac:dyDescent="0.35">
      <c r="A4" s="231" t="str">
        <f>IF(B3=1,"Total Cost ($)",IF(B3=1000,"Total Cost in Thousands ($)",IF(B3=1000000,"Total Cost in Millions ($)","CostBasisnotspecified")))</f>
        <v>Total Cost in Thousands ($)</v>
      </c>
      <c r="B4" s="233"/>
      <c r="C4" s="233"/>
      <c r="D4" s="233"/>
      <c r="E4" s="233"/>
    </row>
    <row r="5" spans="1:14" x14ac:dyDescent="0.35">
      <c r="A5" s="789"/>
      <c r="B5" s="296" t="s">
        <v>86</v>
      </c>
      <c r="C5" s="297" t="s">
        <v>75</v>
      </c>
      <c r="D5" s="298" t="s">
        <v>76</v>
      </c>
      <c r="E5" s="296" t="s">
        <v>77</v>
      </c>
    </row>
    <row r="6" spans="1:14" x14ac:dyDescent="0.35">
      <c r="A6" s="790"/>
      <c r="B6" s="296" t="s">
        <v>69</v>
      </c>
      <c r="C6" s="296" t="s">
        <v>69</v>
      </c>
      <c r="D6" s="296" t="s">
        <v>69</v>
      </c>
      <c r="E6" s="296" t="s">
        <v>69</v>
      </c>
    </row>
    <row r="7" spans="1:14" x14ac:dyDescent="0.35">
      <c r="A7" s="241" t="s">
        <v>88</v>
      </c>
      <c r="B7" s="242">
        <f>ROUND('CBS (Total)'!J4/B3,-B2)</f>
        <v>4723</v>
      </c>
      <c r="C7" s="242">
        <f>ROUND('CBS (Total)'!L4/B3,-B2)</f>
        <v>9528</v>
      </c>
      <c r="D7" s="242">
        <f>ROUND('CBS (Total)'!N4/B3,-B2)</f>
        <v>12821</v>
      </c>
      <c r="E7" s="242">
        <f>ROUND('CBS (Total)'!P4/B3,-B2)</f>
        <v>12336</v>
      </c>
    </row>
    <row r="8" spans="1:14" x14ac:dyDescent="0.35">
      <c r="A8" s="241" t="s">
        <v>10</v>
      </c>
      <c r="B8" s="242">
        <f>ROUND('CBS (Total)'!J12/B3,-B2)</f>
        <v>990</v>
      </c>
      <c r="C8" s="242">
        <f>ROUND('CBS (Total)'!L12/B3,-B2)</f>
        <v>4860</v>
      </c>
      <c r="D8" s="242">
        <f>ROUND('CBS (Total)'!N12/B3,-B2)</f>
        <v>7566</v>
      </c>
      <c r="E8" s="242">
        <f>ROUND('CBS (Total)'!P12/B3,-B2)</f>
        <v>17310</v>
      </c>
    </row>
    <row r="9" spans="1:14" x14ac:dyDescent="0.35">
      <c r="A9" s="241" t="s">
        <v>18</v>
      </c>
      <c r="B9" s="242">
        <f>ROUND('CBS (Total)'!J18/B3,-B2)</f>
        <v>525</v>
      </c>
      <c r="C9" s="242">
        <f>ROUND('CBS (Total)'!L18/B3,-B2)</f>
        <v>4723</v>
      </c>
      <c r="D9" s="242">
        <f>ROUND('CBS (Total)'!N18/B3,-B2)</f>
        <v>23615</v>
      </c>
      <c r="E9" s="242">
        <f>ROUND('CBS (Total)'!P18/B3,-B2)</f>
        <v>47230</v>
      </c>
    </row>
    <row r="10" spans="1:14" x14ac:dyDescent="0.35">
      <c r="A10" s="241" t="s">
        <v>27</v>
      </c>
      <c r="B10" s="242">
        <f>ROUND('CBS (Total)'!J24/B3,-B2)</f>
        <v>5266</v>
      </c>
      <c r="C10" s="242">
        <f>ROUND('CBS (Total)'!L24/B3,-B2)</f>
        <v>37796</v>
      </c>
      <c r="D10" s="242">
        <f>ROUND('CBS (Total)'!N24/B3,-B2)</f>
        <v>149886</v>
      </c>
      <c r="E10" s="242">
        <f>ROUND('CBS (Total)'!P24/B3,-B2)</f>
        <v>271294</v>
      </c>
    </row>
    <row r="11" spans="1:14" x14ac:dyDescent="0.35">
      <c r="A11" s="241" t="s">
        <v>31</v>
      </c>
      <c r="B11" s="242">
        <f>ROUND('CBS (Total)'!J27/B3,-B2)</f>
        <v>1324</v>
      </c>
      <c r="C11" s="242">
        <f>ROUND('CBS (Total)'!L27/B3,-B2)</f>
        <v>10252</v>
      </c>
      <c r="D11" s="242">
        <f>ROUND('CBS (Total)'!N27/B3,-B2)</f>
        <v>43849</v>
      </c>
      <c r="E11" s="242">
        <f>ROUND('CBS (Total)'!P27/B3,-B2)</f>
        <v>81488</v>
      </c>
    </row>
    <row r="12" spans="1:14" s="239" customFormat="1" x14ac:dyDescent="0.35">
      <c r="A12" s="241" t="s">
        <v>61</v>
      </c>
      <c r="B12" s="242">
        <f>ROUND('CBS (Total)'!J35/B3,-B2)</f>
        <v>711</v>
      </c>
      <c r="C12" s="242">
        <f>ROUND('CBS (Total)'!L35/B3,-B2)</f>
        <v>5277</v>
      </c>
      <c r="D12" s="242">
        <f>ROUND('CBS (Total)'!N35/B3,-B2)</f>
        <v>21735</v>
      </c>
      <c r="E12" s="242">
        <f>ROUND('CBS (Total)'!P35/B3,-B2)</f>
        <v>40001</v>
      </c>
    </row>
    <row r="13" spans="1:14" x14ac:dyDescent="0.35">
      <c r="A13" s="241" t="s">
        <v>44</v>
      </c>
      <c r="B13" s="242">
        <f>ROUND('CBS (Total)'!J36/B3,-B2)</f>
        <v>5909</v>
      </c>
      <c r="C13" s="242">
        <f>ROUND('CBS (Total)'!L36/B3,-B2)</f>
        <v>9082</v>
      </c>
      <c r="D13" s="242">
        <f>ROUND('CBS (Total)'!N36/B3,-B2)</f>
        <v>21531</v>
      </c>
      <c r="E13" s="242">
        <f>ROUND('CBS (Total)'!P36/B3,-B2)</f>
        <v>37860</v>
      </c>
    </row>
    <row r="14" spans="1:14" x14ac:dyDescent="0.35">
      <c r="A14" s="241" t="s">
        <v>125</v>
      </c>
      <c r="B14" s="242">
        <f>ROUND('CBS (Total)'!J44/B3,-B2)</f>
        <v>1945</v>
      </c>
      <c r="C14" s="242">
        <f>ROUND('CBS (Total)'!L44/B3,-B2)</f>
        <v>8152</v>
      </c>
      <c r="D14" s="242">
        <f>ROUND('CBS (Total)'!N44/B3,-B2)</f>
        <v>28100</v>
      </c>
      <c r="E14" s="242">
        <f>ROUND('CBS (Total)'!P44/B3,-B2)</f>
        <v>50752</v>
      </c>
    </row>
    <row r="15" spans="1:14" x14ac:dyDescent="0.35">
      <c r="A15" s="241" t="s">
        <v>70</v>
      </c>
      <c r="B15" s="242">
        <f>SUM(B7:B14)</f>
        <v>21393</v>
      </c>
      <c r="C15" s="242">
        <f>SUM(C7:C14)</f>
        <v>89670</v>
      </c>
      <c r="D15" s="242">
        <f>SUM(D7:D14)</f>
        <v>309103</v>
      </c>
      <c r="E15" s="242">
        <f>SUM(E7:E14)</f>
        <v>558271</v>
      </c>
    </row>
    <row r="16" spans="1:14" s="243" customFormat="1" x14ac:dyDescent="0.35">
      <c r="A16" s="232"/>
      <c r="B16" s="235"/>
      <c r="C16" s="235"/>
      <c r="D16" s="235"/>
      <c r="E16" s="235"/>
      <c r="J16" s="258"/>
      <c r="L16" s="258"/>
      <c r="N16" s="258"/>
    </row>
    <row r="17" spans="1:14" s="243" customFormat="1" x14ac:dyDescent="0.35">
      <c r="A17" s="243" t="s">
        <v>200</v>
      </c>
      <c r="B17">
        <v>1</v>
      </c>
      <c r="C17" s="243" t="s">
        <v>201</v>
      </c>
      <c r="D17" s="235"/>
      <c r="E17" s="235"/>
      <c r="N17" s="258"/>
    </row>
    <row r="19" spans="1:14" s="243" customFormat="1" x14ac:dyDescent="0.35">
      <c r="A19" s="267" t="s">
        <v>0</v>
      </c>
    </row>
    <row r="20" spans="1:14" x14ac:dyDescent="0.35">
      <c r="A20" s="236"/>
      <c r="B20" s="296" t="s">
        <v>86</v>
      </c>
      <c r="C20" s="297" t="s">
        <v>75</v>
      </c>
      <c r="D20" s="298" t="s">
        <v>76</v>
      </c>
      <c r="E20" s="296" t="s">
        <v>77</v>
      </c>
    </row>
    <row r="21" spans="1:14" x14ac:dyDescent="0.35">
      <c r="A21" s="234"/>
      <c r="B21" s="296" t="s">
        <v>202</v>
      </c>
      <c r="C21" s="296" t="s">
        <v>202</v>
      </c>
      <c r="D21" s="296" t="s">
        <v>202</v>
      </c>
      <c r="E21" s="296" t="s">
        <v>202</v>
      </c>
    </row>
    <row r="22" spans="1:14" x14ac:dyDescent="0.35">
      <c r="A22" s="241" t="s">
        <v>88</v>
      </c>
      <c r="B22" s="244">
        <f>ROUND('CBS ($ per kW)'!J6,-B17)</f>
        <v>4820</v>
      </c>
      <c r="C22" s="244">
        <f>ROUND('CBS ($ per kW)'!L6,-B17)</f>
        <v>970</v>
      </c>
      <c r="D22" s="244">
        <f>ROUND('CBS ($ per kW)'!N6,-B17)</f>
        <v>260</v>
      </c>
      <c r="E22" s="244">
        <f>ROUND('CBS ($ per kW)'!P6,-B17)</f>
        <v>130</v>
      </c>
    </row>
    <row r="23" spans="1:14" x14ac:dyDescent="0.35">
      <c r="A23" s="241" t="s">
        <v>10</v>
      </c>
      <c r="B23" s="244">
        <f>ROUND('CBS ($ per kW)'!J14,-B17)</f>
        <v>1010</v>
      </c>
      <c r="C23" s="244">
        <f>ROUND('CBS ($ per kW)'!L14,-B17)</f>
        <v>500</v>
      </c>
      <c r="D23" s="244">
        <f>ROUND('CBS ($ per kW)'!N14,-B17)</f>
        <v>150</v>
      </c>
      <c r="E23" s="244">
        <f>ROUND('CBS ($ per kW)'!P14,-B17)</f>
        <v>180</v>
      </c>
    </row>
    <row r="24" spans="1:14" x14ac:dyDescent="0.35">
      <c r="A24" s="241" t="s">
        <v>18</v>
      </c>
      <c r="B24" s="244">
        <f>ROUND('CBS ($ per kW)'!J20,-B17)</f>
        <v>540</v>
      </c>
      <c r="C24" s="244">
        <f>ROUND('CBS ($ per kW)'!L20,-B17)</f>
        <v>480</v>
      </c>
      <c r="D24" s="244">
        <f>ROUND('CBS ($ per kW)'!N20,-B17)</f>
        <v>480</v>
      </c>
      <c r="E24" s="244">
        <f>ROUND('CBS ($ per kW)'!P20,-B17)</f>
        <v>480</v>
      </c>
    </row>
    <row r="25" spans="1:14" x14ac:dyDescent="0.35">
      <c r="A25" s="241" t="s">
        <v>27</v>
      </c>
      <c r="B25" s="244">
        <f>ROUND('CBS ($ per kW)'!J26,-B17)</f>
        <v>5370</v>
      </c>
      <c r="C25" s="244">
        <f>ROUND('CBS ($ per kW)'!L26,-B17)</f>
        <v>3860</v>
      </c>
      <c r="D25" s="244">
        <f>ROUND('CBS ($ per kW)'!N26,-B17)</f>
        <v>3060</v>
      </c>
      <c r="E25" s="244">
        <f>ROUND('CBS ($ per kW)'!P26,-B17)</f>
        <v>2770</v>
      </c>
    </row>
    <row r="26" spans="1:14" x14ac:dyDescent="0.35">
      <c r="A26" s="241" t="s">
        <v>31</v>
      </c>
      <c r="B26" s="244">
        <f>ROUND('CBS ($ per kW)'!J29,-B17)</f>
        <v>1350</v>
      </c>
      <c r="C26" s="244">
        <f>ROUND('CBS ($ per kW)'!L29,-B17)</f>
        <v>1050</v>
      </c>
      <c r="D26" s="244">
        <f>ROUND('CBS ($ per kW)'!N29,-B17)</f>
        <v>890</v>
      </c>
      <c r="E26" s="244">
        <f>ROUND('CBS ($ per kW)'!P29,-B17)</f>
        <v>830</v>
      </c>
    </row>
    <row r="27" spans="1:14" x14ac:dyDescent="0.35">
      <c r="A27" s="241" t="s">
        <v>61</v>
      </c>
      <c r="B27" s="244">
        <f>ROUND('CBS ($ per kW)'!J37,-B17)</f>
        <v>730</v>
      </c>
      <c r="C27" s="244">
        <f>ROUND('CBS ($ per kW)'!L37,-B17)</f>
        <v>540</v>
      </c>
      <c r="D27" s="244">
        <f>ROUND('CBS ($ per kW)'!N37,-B17)</f>
        <v>440</v>
      </c>
      <c r="E27" s="244">
        <f>ROUND('CBS ($ per kW)'!P37,-B17)</f>
        <v>410</v>
      </c>
    </row>
    <row r="28" spans="1:14" x14ac:dyDescent="0.35">
      <c r="A28" s="241" t="s">
        <v>44</v>
      </c>
      <c r="B28" s="244">
        <f>ROUND('CBS ($ per kW)'!J38,-B17)</f>
        <v>6030</v>
      </c>
      <c r="C28" s="244">
        <f>ROUND('CBS ($ per kW)'!L38,-B17)</f>
        <v>930</v>
      </c>
      <c r="D28" s="244">
        <f>ROUND('CBS ($ per kW)'!N38,-B17)</f>
        <v>440</v>
      </c>
      <c r="E28" s="244">
        <f>ROUND('CBS ($ per kW)'!P38,-B17)</f>
        <v>390</v>
      </c>
    </row>
    <row r="29" spans="1:14" x14ac:dyDescent="0.35">
      <c r="A29" s="241" t="s">
        <v>125</v>
      </c>
      <c r="B29" s="244">
        <f>ROUND('CBS ($ per kW)'!J46,-B17)</f>
        <v>1980</v>
      </c>
      <c r="C29" s="244">
        <f>ROUND('CBS ($ per kW)'!L46,-B17)</f>
        <v>830</v>
      </c>
      <c r="D29" s="244">
        <f>ROUND('CBS ($ per kW)'!N46,-B17)</f>
        <v>570</v>
      </c>
      <c r="E29" s="244">
        <f>ROUND('CBS ($ per kW)'!P46,-B17)</f>
        <v>520</v>
      </c>
    </row>
    <row r="30" spans="1:14" x14ac:dyDescent="0.35">
      <c r="A30" s="241" t="s">
        <v>70</v>
      </c>
      <c r="B30" s="237">
        <f>SUM(B22:B29)</f>
        <v>21830</v>
      </c>
      <c r="C30" s="237">
        <f>SUM(C22:C29)</f>
        <v>9160</v>
      </c>
      <c r="D30" s="237">
        <f>SUM(D22:D29)</f>
        <v>6290</v>
      </c>
      <c r="E30" s="237">
        <f>SUM(E22:E29)</f>
        <v>5710</v>
      </c>
    </row>
    <row r="31" spans="1:14" s="277" customFormat="1" x14ac:dyDescent="0.35">
      <c r="A31" s="232"/>
      <c r="B31" s="280"/>
      <c r="C31" s="280"/>
      <c r="D31" s="280"/>
      <c r="E31" s="280"/>
    </row>
    <row r="32" spans="1:14" s="277" customFormat="1" x14ac:dyDescent="0.35">
      <c r="A32" s="232"/>
      <c r="B32" s="280"/>
      <c r="C32" s="280"/>
      <c r="D32" s="280"/>
      <c r="E32" s="280"/>
    </row>
    <row r="33" spans="1:7" s="277" customFormat="1" x14ac:dyDescent="0.35">
      <c r="A33" s="232"/>
      <c r="B33" s="280"/>
      <c r="C33" s="280"/>
      <c r="D33" s="280"/>
      <c r="E33" s="280"/>
    </row>
    <row r="34" spans="1:7" s="277" customFormat="1" x14ac:dyDescent="0.35">
      <c r="A34" t="s">
        <v>0</v>
      </c>
      <c r="B34"/>
      <c r="C34"/>
      <c r="D34"/>
      <c r="E34"/>
      <c r="F34"/>
      <c r="G34"/>
    </row>
    <row r="35" spans="1:7" s="277" customFormat="1" x14ac:dyDescent="0.35">
      <c r="A35" s="253"/>
      <c r="B35" s="791" t="s">
        <v>75</v>
      </c>
      <c r="C35" s="792"/>
      <c r="D35" s="791" t="s">
        <v>76</v>
      </c>
      <c r="E35" s="792"/>
      <c r="F35" s="791" t="s">
        <v>77</v>
      </c>
      <c r="G35" s="792"/>
    </row>
    <row r="36" spans="1:7" s="277" customFormat="1" x14ac:dyDescent="0.35">
      <c r="A36" s="251"/>
      <c r="B36" s="252" t="s">
        <v>203</v>
      </c>
      <c r="C36" s="252" t="s">
        <v>204</v>
      </c>
      <c r="D36" s="252" t="s">
        <v>203</v>
      </c>
      <c r="E36" s="252" t="s">
        <v>204</v>
      </c>
      <c r="F36" s="252" t="s">
        <v>203</v>
      </c>
      <c r="G36" s="252" t="s">
        <v>204</v>
      </c>
    </row>
    <row r="37" spans="1:7" s="277" customFormat="1" x14ac:dyDescent="0.35">
      <c r="A37" s="248" t="s">
        <v>88</v>
      </c>
      <c r="B37" s="250">
        <f>'CBS (CoE)'!L6</f>
        <v>4.3351737191514692</v>
      </c>
      <c r="C37" s="249">
        <f t="shared" ref="C37:C44" si="0">B37/B$45</f>
        <v>0.10626038053140564</v>
      </c>
      <c r="D37" s="250">
        <f>'CBS (CoE)'!N6</f>
        <v>1.166685304547364</v>
      </c>
      <c r="E37" s="260">
        <f t="shared" ref="E37:E44" si="1">D37/D$45</f>
        <v>4.147940957229708E-2</v>
      </c>
      <c r="F37" s="247">
        <f>'CBS (CoE)'!P6</f>
        <v>0.56127974133201164</v>
      </c>
      <c r="G37" s="260">
        <f t="shared" ref="G37:G44" si="2">F37/F$45</f>
        <v>2.2097704776977516E-2</v>
      </c>
    </row>
    <row r="38" spans="1:7" s="277" customFormat="1" x14ac:dyDescent="0.35">
      <c r="A38" s="248" t="s">
        <v>10</v>
      </c>
      <c r="B38" s="250">
        <f>'CBS (CoE)'!L14</f>
        <v>2.2111780400429062</v>
      </c>
      <c r="C38" s="260">
        <f t="shared" si="0"/>
        <v>5.4198663116927219E-2</v>
      </c>
      <c r="D38" s="250">
        <f>'CBS (CoE)'!N14</f>
        <v>0.68846802678866792</v>
      </c>
      <c r="E38" s="260">
        <f t="shared" si="1"/>
        <v>2.4477249477036687E-2</v>
      </c>
      <c r="F38" s="247">
        <f>'CBS (CoE)'!P14</f>
        <v>0.78756156117577591</v>
      </c>
      <c r="G38" s="260">
        <f t="shared" si="2"/>
        <v>3.1006468951216441E-2</v>
      </c>
    </row>
    <row r="39" spans="1:7" s="277" customFormat="1" x14ac:dyDescent="0.35">
      <c r="A39" s="248" t="s">
        <v>18</v>
      </c>
      <c r="B39" s="250">
        <f>'CBS (CoE)'!L20</f>
        <v>2.1488351036361406</v>
      </c>
      <c r="C39" s="260">
        <f t="shared" si="0"/>
        <v>5.2670561920713843E-2</v>
      </c>
      <c r="D39" s="250">
        <f>'CBS (CoE)'!N20</f>
        <v>2.1488351036361411</v>
      </c>
      <c r="E39" s="260">
        <f t="shared" si="1"/>
        <v>7.6397989260380217E-2</v>
      </c>
      <c r="F39" s="247">
        <f>'CBS (CoE)'!P20</f>
        <v>2.1488351036361411</v>
      </c>
      <c r="G39" s="260">
        <f t="shared" si="2"/>
        <v>8.4600102654460704E-2</v>
      </c>
    </row>
    <row r="40" spans="1:7" s="277" customFormat="1" x14ac:dyDescent="0.35">
      <c r="A40" s="248" t="s">
        <v>27</v>
      </c>
      <c r="B40" s="250">
        <f>'CBS (CoE)'!L26</f>
        <v>17.196393605780237</v>
      </c>
      <c r="C40" s="260">
        <f t="shared" si="0"/>
        <v>0.42150452247060088</v>
      </c>
      <c r="D40" s="250">
        <f>'CBS (CoE)'!N26</f>
        <v>13.638873306207103</v>
      </c>
      <c r="E40" s="260">
        <f t="shared" si="1"/>
        <v>0.48490574944913684</v>
      </c>
      <c r="F40" s="247">
        <f>'CBS (CoE)'!P26</f>
        <v>12.343180342117424</v>
      </c>
      <c r="G40" s="260">
        <f t="shared" si="2"/>
        <v>0.48595367892988128</v>
      </c>
    </row>
    <row r="41" spans="1:7" s="277" customFormat="1" x14ac:dyDescent="0.35">
      <c r="A41" s="248" t="s">
        <v>31</v>
      </c>
      <c r="B41" s="250">
        <f>'CBS (CoE)'!L29</f>
        <v>4.6641806374221328</v>
      </c>
      <c r="C41" s="260">
        <f t="shared" si="0"/>
        <v>0.11432474025439933</v>
      </c>
      <c r="D41" s="250">
        <f>'CBS (CoE)'!N29</f>
        <v>3.9900012811475465</v>
      </c>
      <c r="E41" s="260">
        <f t="shared" si="1"/>
        <v>0.14185736006927668</v>
      </c>
      <c r="F41" s="247">
        <f>'CBS (CoE)'!P29</f>
        <v>3.7075034516053265</v>
      </c>
      <c r="G41" s="260">
        <f t="shared" si="2"/>
        <v>0.14596521253158415</v>
      </c>
    </row>
    <row r="42" spans="1:7" s="277" customFormat="1" x14ac:dyDescent="0.35">
      <c r="A42" s="248" t="s">
        <v>61</v>
      </c>
      <c r="B42" s="250">
        <f>'CBS (CoE)'!L37</f>
        <v>2.4009409346838506</v>
      </c>
      <c r="C42" s="260">
        <f t="shared" si="0"/>
        <v>5.8849982464571397E-2</v>
      </c>
      <c r="D42" s="250">
        <f>'CBS (CoE)'!N37</f>
        <v>1.977770969099079</v>
      </c>
      <c r="E42" s="260">
        <f t="shared" si="1"/>
        <v>7.0316109877879382E-2</v>
      </c>
      <c r="F42" s="247">
        <f>'CBS (CoE)'!P37</f>
        <v>1.8199518897358893</v>
      </c>
      <c r="G42" s="260">
        <f t="shared" si="2"/>
        <v>7.1651899411592612E-2</v>
      </c>
    </row>
    <row r="43" spans="1:7" s="277" customFormat="1" x14ac:dyDescent="0.35">
      <c r="A43" s="248" t="s">
        <v>44</v>
      </c>
      <c r="B43" s="250">
        <f>'CBS (CoE)'!L38</f>
        <v>4.1320698769184414</v>
      </c>
      <c r="C43" s="260">
        <f t="shared" si="0"/>
        <v>0.10128205833229055</v>
      </c>
      <c r="D43" s="250">
        <f>'CBS (CoE)'!N38</f>
        <v>1.9592334457019238</v>
      </c>
      <c r="E43" s="260">
        <f t="shared" si="1"/>
        <v>6.965704138490221E-2</v>
      </c>
      <c r="F43" s="247">
        <f>'CBS (CoE)'!P38</f>
        <v>1.7225163675427584</v>
      </c>
      <c r="G43" s="260">
        <f t="shared" si="2"/>
        <v>6.7815841835196261E-2</v>
      </c>
    </row>
    <row r="44" spans="1:7" s="277" customFormat="1" x14ac:dyDescent="0.35">
      <c r="A44" s="248" t="s">
        <v>125</v>
      </c>
      <c r="B44" s="250">
        <f>'CBS (CoE)'!L46</f>
        <v>3.7088771917635177</v>
      </c>
      <c r="C44" s="260">
        <f t="shared" si="0"/>
        <v>9.0909090909090884E-2</v>
      </c>
      <c r="D44" s="250">
        <f>'CBS (CoE)'!N46</f>
        <v>2.5569867437127831</v>
      </c>
      <c r="E44" s="260">
        <f t="shared" si="1"/>
        <v>9.0909090909090939E-2</v>
      </c>
      <c r="F44" s="247">
        <f>'CBS (CoE)'!P46</f>
        <v>2.3090828457145336</v>
      </c>
      <c r="G44" s="260">
        <f t="shared" si="2"/>
        <v>9.0909090909090939E-2</v>
      </c>
    </row>
    <row r="45" spans="1:7" s="277" customFormat="1" x14ac:dyDescent="0.35">
      <c r="A45" s="248" t="s">
        <v>70</v>
      </c>
      <c r="B45" s="250">
        <f>SUM(B37:B44)</f>
        <v>40.797649109398705</v>
      </c>
      <c r="C45" s="246"/>
      <c r="D45" s="250">
        <f>SUM(D37:D44)</f>
        <v>28.126854180840606</v>
      </c>
      <c r="E45" s="246"/>
      <c r="F45" s="250">
        <f>SUM(F37:F44)</f>
        <v>25.399911302859863</v>
      </c>
      <c r="G45" s="246"/>
    </row>
    <row r="46" spans="1:7" s="277" customFormat="1" x14ac:dyDescent="0.35">
      <c r="A46" s="232"/>
      <c r="B46" s="280"/>
      <c r="C46" s="280"/>
      <c r="D46" s="280"/>
      <c r="E46" s="280"/>
    </row>
    <row r="47" spans="1:7" x14ac:dyDescent="0.35">
      <c r="A47" t="s">
        <v>200</v>
      </c>
      <c r="B47">
        <v>0</v>
      </c>
      <c r="C47" t="s">
        <v>201</v>
      </c>
    </row>
    <row r="48" spans="1:7" x14ac:dyDescent="0.35">
      <c r="A48" t="s">
        <v>199</v>
      </c>
      <c r="B48">
        <v>1000</v>
      </c>
    </row>
    <row r="49" spans="1:5" x14ac:dyDescent="0.35">
      <c r="A49" s="266" t="str">
        <f>IF(B48=1,"Annual Cost ($)",IF(B48=1000,"Annual Cost in Thousands ($)",IF(B48=1000000,"Annual Cost in Millions ($)","CostBasisnotspecified")))</f>
        <v>Annual Cost in Thousands ($)</v>
      </c>
    </row>
    <row r="50" spans="1:5" x14ac:dyDescent="0.35">
      <c r="A50" s="795"/>
      <c r="B50" s="296" t="s">
        <v>86</v>
      </c>
      <c r="C50" s="297" t="s">
        <v>75</v>
      </c>
      <c r="D50" s="298" t="s">
        <v>76</v>
      </c>
      <c r="E50" s="296" t="s">
        <v>77</v>
      </c>
    </row>
    <row r="51" spans="1:5" x14ac:dyDescent="0.35">
      <c r="A51" s="796"/>
      <c r="B51" s="296" t="s">
        <v>207</v>
      </c>
      <c r="C51" s="296" t="s">
        <v>207</v>
      </c>
      <c r="D51" s="296" t="s">
        <v>207</v>
      </c>
      <c r="E51" s="296" t="s">
        <v>207</v>
      </c>
    </row>
    <row r="52" spans="1:5" x14ac:dyDescent="0.35">
      <c r="A52" s="254" t="s">
        <v>49</v>
      </c>
      <c r="B52" s="255">
        <f>ROUND('CBS (Total)'!J49/B48,-B47)</f>
        <v>294</v>
      </c>
      <c r="C52" s="255">
        <f>ROUND('CBS (Total)'!L49/B48,-B47)</f>
        <v>1440</v>
      </c>
      <c r="D52" s="255">
        <f>ROUND('CBS (Total)'!N49/B48,-B47)</f>
        <v>2682</v>
      </c>
      <c r="E52" s="255">
        <f>ROUND('CBS (Total)'!P49/B48,-B47)</f>
        <v>2476</v>
      </c>
    </row>
    <row r="53" spans="1:5" x14ac:dyDescent="0.35">
      <c r="A53" s="254" t="s">
        <v>206</v>
      </c>
      <c r="B53" s="255">
        <f>ROUND('CBS (Total)'!J50/B48,-B47)</f>
        <v>710</v>
      </c>
      <c r="C53" s="255">
        <f>ROUND('CBS (Total)'!L50/B48,-B47)</f>
        <v>1121</v>
      </c>
      <c r="D53" s="255">
        <f>ROUND('CBS (Total)'!N50/B48,-B47)</f>
        <v>1121</v>
      </c>
      <c r="E53" s="255">
        <f>ROUND('CBS (Total)'!P50/B48,-B47)</f>
        <v>1121</v>
      </c>
    </row>
    <row r="54" spans="1:5" x14ac:dyDescent="0.35">
      <c r="A54" s="254" t="s">
        <v>51</v>
      </c>
      <c r="B54" s="255">
        <f>ROUND('CBS (Total)'!J51/B48,-B47)</f>
        <v>25</v>
      </c>
      <c r="C54" s="255">
        <f>ROUND('CBS (Total)'!L51/B48,-B47)</f>
        <v>249</v>
      </c>
      <c r="D54" s="255">
        <f>ROUND('CBS (Total)'!N51/B48,-B47)</f>
        <v>525</v>
      </c>
      <c r="E54" s="255">
        <f>ROUND('CBS (Total)'!P51/B48,-B47)</f>
        <v>1051</v>
      </c>
    </row>
    <row r="55" spans="1:5" x14ac:dyDescent="0.35">
      <c r="A55" s="254" t="s">
        <v>52</v>
      </c>
      <c r="B55" s="255">
        <f>ROUND('CBS (Total)'!J52/B48,-B47)</f>
        <v>142</v>
      </c>
      <c r="C55" s="255">
        <f>ROUND('CBS (Total)'!L52/B48,-B47)</f>
        <v>400</v>
      </c>
      <c r="D55" s="255">
        <f>ROUND('CBS (Total)'!N52/B48,-B47)</f>
        <v>455</v>
      </c>
      <c r="E55" s="255">
        <f>ROUND('CBS (Total)'!P52/B48,-B47)</f>
        <v>675</v>
      </c>
    </row>
    <row r="56" spans="1:5" x14ac:dyDescent="0.35">
      <c r="A56" s="254" t="s">
        <v>53</v>
      </c>
      <c r="B56" s="255">
        <f>ROUND('CBS (Total)'!J53/B48,-B47)</f>
        <v>126</v>
      </c>
      <c r="C56" s="255">
        <f>ROUND('CBS (Total)'!L53/B48,-B47)</f>
        <v>1149</v>
      </c>
      <c r="D56" s="255">
        <f>ROUND('CBS (Total)'!N53/B48,-B47)</f>
        <v>5391</v>
      </c>
      <c r="E56" s="255">
        <f>ROUND('CBS (Total)'!P53/B48,-B47)</f>
        <v>8219</v>
      </c>
    </row>
    <row r="57" spans="1:5" x14ac:dyDescent="0.35">
      <c r="A57" s="254" t="s">
        <v>54</v>
      </c>
      <c r="B57" s="255">
        <f>ROUND('CBS (Total)'!J54/B48,-B47)</f>
        <v>7</v>
      </c>
      <c r="C57" s="255">
        <f>ROUND('CBS (Total)'!L54/B48,-B47)</f>
        <v>70</v>
      </c>
      <c r="D57" s="255">
        <f>ROUND('CBS (Total)'!N54/B48,-B47)</f>
        <v>350</v>
      </c>
      <c r="E57" s="255">
        <f>ROUND('CBS (Total)'!P54/B48,-B47)</f>
        <v>700</v>
      </c>
    </row>
    <row r="58" spans="1:5" x14ac:dyDescent="0.35">
      <c r="A58" s="254" t="s">
        <v>70</v>
      </c>
      <c r="B58" s="255">
        <f>SUM(B52:B57)</f>
        <v>1304</v>
      </c>
      <c r="C58" s="255">
        <f t="shared" ref="C58:E58" si="3">SUM(C52:C57)</f>
        <v>4429</v>
      </c>
      <c r="D58" s="255">
        <f t="shared" si="3"/>
        <v>10524</v>
      </c>
      <c r="E58" s="255">
        <f t="shared" si="3"/>
        <v>14242</v>
      </c>
    </row>
    <row r="60" spans="1:5" x14ac:dyDescent="0.35">
      <c r="A60" t="s">
        <v>200</v>
      </c>
      <c r="B60">
        <v>1</v>
      </c>
      <c r="C60" t="s">
        <v>201</v>
      </c>
    </row>
    <row r="62" spans="1:5" x14ac:dyDescent="0.35">
      <c r="A62" t="s">
        <v>210</v>
      </c>
    </row>
    <row r="63" spans="1:5" x14ac:dyDescent="0.35">
      <c r="A63" s="795"/>
      <c r="B63" s="296" t="s">
        <v>86</v>
      </c>
      <c r="C63" s="297" t="s">
        <v>75</v>
      </c>
      <c r="D63" s="298" t="s">
        <v>76</v>
      </c>
      <c r="E63" s="296" t="s">
        <v>77</v>
      </c>
    </row>
    <row r="64" spans="1:5" x14ac:dyDescent="0.35">
      <c r="A64" s="796"/>
      <c r="B64" s="296" t="s">
        <v>205</v>
      </c>
      <c r="C64" s="296" t="s">
        <v>205</v>
      </c>
      <c r="D64" s="296" t="s">
        <v>205</v>
      </c>
      <c r="E64" s="296" t="s">
        <v>205</v>
      </c>
    </row>
    <row r="65" spans="1:7" x14ac:dyDescent="0.35">
      <c r="A65" s="256" t="s">
        <v>49</v>
      </c>
      <c r="B65" s="257">
        <f>ROUND('CBS ($ per kW)'!J51,-B60)</f>
        <v>300</v>
      </c>
      <c r="C65" s="257">
        <f>ROUND('CBS ($ per kW)'!L51,-B60)</f>
        <v>150</v>
      </c>
      <c r="D65" s="257">
        <f>ROUND('CBS ($ per kW)'!N51,-B60)</f>
        <v>50</v>
      </c>
      <c r="E65" s="257">
        <f>ROUND('CBS ($ per kW)'!P51,-B60)</f>
        <v>30</v>
      </c>
    </row>
    <row r="66" spans="1:7" x14ac:dyDescent="0.35">
      <c r="A66" s="256" t="s">
        <v>206</v>
      </c>
      <c r="B66" s="257">
        <f>ROUND('CBS ($ per kW)'!J52,-B60)</f>
        <v>720</v>
      </c>
      <c r="C66" s="257">
        <f>ROUND('CBS ($ per kW)'!L52,-B60)</f>
        <v>110</v>
      </c>
      <c r="D66" s="257">
        <f>ROUND('CBS ($ per kW)'!N52,-B60)</f>
        <v>20</v>
      </c>
      <c r="E66" s="257">
        <f>ROUND('CBS ($ per kW)'!P52,-B60)</f>
        <v>10</v>
      </c>
    </row>
    <row r="67" spans="1:7" x14ac:dyDescent="0.35">
      <c r="A67" s="256" t="s">
        <v>51</v>
      </c>
      <c r="B67" s="257">
        <f>ROUND('CBS ($ per kW)'!J53,-B60)</f>
        <v>30</v>
      </c>
      <c r="C67" s="257">
        <f>ROUND('CBS ($ per kW)'!L53,-B60)</f>
        <v>30</v>
      </c>
      <c r="D67" s="257">
        <f>ROUND('CBS ($ per kW)'!N53,-B60)</f>
        <v>10</v>
      </c>
      <c r="E67" s="257">
        <f>ROUND('CBS ($ per kW)'!P53,-B60)</f>
        <v>10</v>
      </c>
    </row>
    <row r="68" spans="1:7" x14ac:dyDescent="0.35">
      <c r="A68" s="256" t="s">
        <v>52</v>
      </c>
      <c r="B68" s="257">
        <f>ROUND('CBS ($ per kW)'!J54,-B60)</f>
        <v>140</v>
      </c>
      <c r="C68" s="257">
        <f>ROUND('CBS ($ per kW)'!L54,-B60)</f>
        <v>40</v>
      </c>
      <c r="D68" s="257">
        <f>ROUND('CBS ($ per kW)'!N54,-B60)</f>
        <v>10</v>
      </c>
      <c r="E68" s="257">
        <f>ROUND('CBS ($ per kW)'!P54,-B60)</f>
        <v>10</v>
      </c>
    </row>
    <row r="69" spans="1:7" x14ac:dyDescent="0.35">
      <c r="A69" s="256" t="s">
        <v>53</v>
      </c>
      <c r="B69" s="257">
        <f>ROUND('CBS ($ per kW)'!J55,-B60)</f>
        <v>130</v>
      </c>
      <c r="C69" s="257">
        <f>ROUND('CBS ($ per kW)'!L55,-B60)</f>
        <v>120</v>
      </c>
      <c r="D69" s="257">
        <f>ROUND('CBS ($ per kW)'!N55,-B60)</f>
        <v>110</v>
      </c>
      <c r="E69" s="257">
        <f>ROUND('CBS ($ per kW)'!P55,-B60)</f>
        <v>80</v>
      </c>
    </row>
    <row r="70" spans="1:7" x14ac:dyDescent="0.35">
      <c r="A70" s="256" t="s">
        <v>54</v>
      </c>
      <c r="B70" s="257">
        <f>ROUND('CBS ($ per kW)'!J56,-B60)</f>
        <v>10</v>
      </c>
      <c r="C70" s="257">
        <f>ROUND('CBS ($ per kW)'!L56,-B60)</f>
        <v>10</v>
      </c>
      <c r="D70" s="257">
        <f>ROUND('CBS ($ per kW)'!N56,-B60)</f>
        <v>10</v>
      </c>
      <c r="E70" s="257">
        <f>ROUND('CBS ($ per kW)'!P56,-B60)</f>
        <v>10</v>
      </c>
    </row>
    <row r="71" spans="1:7" x14ac:dyDescent="0.35">
      <c r="A71" s="256" t="s">
        <v>70</v>
      </c>
      <c r="B71" s="257">
        <f>SUM(B65:B70)</f>
        <v>1330</v>
      </c>
      <c r="C71" s="257">
        <f t="shared" ref="C71:E71" si="4">SUM(C65:C70)</f>
        <v>460</v>
      </c>
      <c r="D71" s="257">
        <f t="shared" si="4"/>
        <v>210</v>
      </c>
      <c r="E71" s="257">
        <f t="shared" si="4"/>
        <v>150</v>
      </c>
    </row>
    <row r="73" spans="1:7" x14ac:dyDescent="0.35">
      <c r="A73" s="267"/>
    </row>
    <row r="76" spans="1:7" x14ac:dyDescent="0.35">
      <c r="A76" t="s">
        <v>210</v>
      </c>
    </row>
    <row r="77" spans="1:7" x14ac:dyDescent="0.35">
      <c r="A77" s="793"/>
      <c r="B77" s="791" t="s">
        <v>75</v>
      </c>
      <c r="C77" s="792"/>
      <c r="D77" s="791" t="s">
        <v>76</v>
      </c>
      <c r="E77" s="792"/>
      <c r="F77" s="791" t="s">
        <v>77</v>
      </c>
      <c r="G77" s="792"/>
    </row>
    <row r="78" spans="1:7" x14ac:dyDescent="0.35">
      <c r="A78" s="794"/>
      <c r="B78" s="265" t="s">
        <v>203</v>
      </c>
      <c r="C78" s="265" t="s">
        <v>204</v>
      </c>
      <c r="D78" s="265" t="s">
        <v>203</v>
      </c>
      <c r="E78" s="265" t="s">
        <v>204</v>
      </c>
      <c r="F78" s="265" t="s">
        <v>203</v>
      </c>
      <c r="G78" s="265" t="s">
        <v>204</v>
      </c>
    </row>
    <row r="79" spans="1:7" x14ac:dyDescent="0.35">
      <c r="A79" s="261" t="s">
        <v>49</v>
      </c>
      <c r="B79" s="262">
        <f>'CBS (CoE)'!L51</f>
        <v>6.0654811478673523</v>
      </c>
      <c r="C79" s="260">
        <f t="shared" ref="C79:C84" si="5">B79/B$85</f>
        <v>0.32510151932261944</v>
      </c>
      <c r="D79" s="262">
        <f>'CBS (CoE)'!N51</f>
        <v>2.2595539011648578</v>
      </c>
      <c r="E79" s="260">
        <f t="shared" ref="E79:E84" si="6">D79/D$85</f>
        <v>0.2548271833368283</v>
      </c>
      <c r="F79" s="262">
        <f>'CBS (CoE)'!P51</f>
        <v>1.0430346627691349</v>
      </c>
      <c r="G79" s="260">
        <f t="shared" ref="G79:G84" si="7">F79/F$85</f>
        <v>0.17385466122312176</v>
      </c>
    </row>
    <row r="80" spans="1:7" x14ac:dyDescent="0.35">
      <c r="A80" s="261" t="s">
        <v>206</v>
      </c>
      <c r="B80" s="262">
        <f>'CBS (CoE)'!L52</f>
        <v>4.7224710083982959</v>
      </c>
      <c r="C80" s="260">
        <f t="shared" si="5"/>
        <v>0.25311800702358461</v>
      </c>
      <c r="D80" s="262">
        <f>'CBS (CoE)'!N52</f>
        <v>0.94449420167965936</v>
      </c>
      <c r="E80" s="260">
        <f t="shared" si="6"/>
        <v>0.10651783830778089</v>
      </c>
      <c r="F80" s="262">
        <f>'CBS (CoE)'!P52</f>
        <v>0.47224710083982968</v>
      </c>
      <c r="G80" s="260">
        <f t="shared" si="7"/>
        <v>7.8714890943449439E-2</v>
      </c>
    </row>
    <row r="81" spans="1:7" x14ac:dyDescent="0.35">
      <c r="A81" s="261" t="s">
        <v>51</v>
      </c>
      <c r="B81" s="262">
        <f>'CBS (CoE)'!L53</f>
        <v>1.0491805572181943</v>
      </c>
      <c r="C81" s="260">
        <f t="shared" si="5"/>
        <v>5.6234647323125567E-2</v>
      </c>
      <c r="D81" s="262">
        <f>'CBS (CoE)'!N53</f>
        <v>0.44267373199151921</v>
      </c>
      <c r="E81" s="260">
        <f t="shared" si="6"/>
        <v>4.9923704056117818E-2</v>
      </c>
      <c r="F81" s="262">
        <f>'CBS (CoE)'!P53</f>
        <v>0.44267373199151921</v>
      </c>
      <c r="G81" s="260">
        <f t="shared" si="7"/>
        <v>7.3785555221567059E-2</v>
      </c>
    </row>
    <row r="82" spans="1:7" x14ac:dyDescent="0.35">
      <c r="A82" s="261" t="s">
        <v>52</v>
      </c>
      <c r="B82" s="262">
        <f>'CBS (CoE)'!L54</f>
        <v>1.684822627310242</v>
      </c>
      <c r="C82" s="260">
        <f t="shared" si="5"/>
        <v>9.0304195590530212E-2</v>
      </c>
      <c r="D82" s="262">
        <f>'CBS (CoE)'!N54</f>
        <v>0.38309898086541272</v>
      </c>
      <c r="E82" s="260">
        <f t="shared" si="6"/>
        <v>4.3205003511009372E-2</v>
      </c>
      <c r="F82" s="262">
        <f>'CBS (CoE)'!P54</f>
        <v>0.28420512990898988</v>
      </c>
      <c r="G82" s="260">
        <f t="shared" si="7"/>
        <v>4.7371758908780613E-2</v>
      </c>
    </row>
    <row r="83" spans="1:7" x14ac:dyDescent="0.35">
      <c r="A83" s="261" t="s">
        <v>53</v>
      </c>
      <c r="B83" s="262">
        <f>'CBS (CoE)'!L55</f>
        <v>4.8403445398368206</v>
      </c>
      <c r="C83" s="260">
        <f t="shared" si="5"/>
        <v>0.25943586758969334</v>
      </c>
      <c r="D83" s="262">
        <f>'CBS (CoE)'!N55</f>
        <v>4.542293012038904</v>
      </c>
      <c r="E83" s="260">
        <f t="shared" si="6"/>
        <v>0.51226914018369341</v>
      </c>
      <c r="F83" s="262">
        <f>'CBS (CoE)'!P55</f>
        <v>3.4624115506904127</v>
      </c>
      <c r="G83" s="260">
        <f t="shared" si="7"/>
        <v>0.57712021339941066</v>
      </c>
    </row>
    <row r="84" spans="1:7" x14ac:dyDescent="0.35">
      <c r="A84" s="261" t="s">
        <v>54</v>
      </c>
      <c r="B84" s="262">
        <f>'CBS (CoE)'!L56</f>
        <v>0.29489114236207026</v>
      </c>
      <c r="C84" s="260">
        <f t="shared" si="5"/>
        <v>1.5805763150446857E-2</v>
      </c>
      <c r="D84" s="262">
        <f>'CBS (CoE)'!N56</f>
        <v>0.29489114236207026</v>
      </c>
      <c r="E84" s="260">
        <f t="shared" si="6"/>
        <v>3.3257130604570299E-2</v>
      </c>
      <c r="F84" s="262">
        <f>'CBS (CoE)'!P56</f>
        <v>0.29489114236207026</v>
      </c>
      <c r="G84" s="260">
        <f t="shared" si="7"/>
        <v>4.9152920303670473E-2</v>
      </c>
    </row>
    <row r="85" spans="1:7" x14ac:dyDescent="0.35">
      <c r="A85" s="261" t="s">
        <v>70</v>
      </c>
      <c r="B85" s="262">
        <f>SUM(B79:B84)</f>
        <v>18.657191022992976</v>
      </c>
      <c r="C85" s="259"/>
      <c r="D85" s="262">
        <f>SUM(D79:D84)</f>
        <v>8.8670049701024229</v>
      </c>
      <c r="E85" s="263"/>
      <c r="F85" s="262">
        <f>SUM(F79:F84)</f>
        <v>5.9994633185619568</v>
      </c>
      <c r="G85" s="264"/>
    </row>
    <row r="89" spans="1:7" x14ac:dyDescent="0.35">
      <c r="A89" t="s">
        <v>211</v>
      </c>
    </row>
    <row r="90" spans="1:7" x14ac:dyDescent="0.35">
      <c r="A90" s="281"/>
      <c r="B90" s="791" t="s">
        <v>75</v>
      </c>
      <c r="C90" s="792"/>
      <c r="D90" s="791" t="s">
        <v>76</v>
      </c>
      <c r="E90" s="792"/>
      <c r="F90" s="791" t="s">
        <v>77</v>
      </c>
      <c r="G90" s="792"/>
    </row>
    <row r="91" spans="1:7" x14ac:dyDescent="0.35">
      <c r="A91" s="274"/>
      <c r="B91" s="275" t="s">
        <v>203</v>
      </c>
      <c r="C91" s="275" t="s">
        <v>204</v>
      </c>
      <c r="D91" s="275" t="s">
        <v>203</v>
      </c>
      <c r="E91" s="275" t="s">
        <v>204</v>
      </c>
      <c r="F91" s="275" t="s">
        <v>203</v>
      </c>
      <c r="G91" s="275" t="s">
        <v>204</v>
      </c>
    </row>
    <row r="92" spans="1:7" x14ac:dyDescent="0.35">
      <c r="A92" s="270" t="s">
        <v>208</v>
      </c>
      <c r="B92" s="271">
        <f>B39+B40+B41+B42</f>
        <v>26.410350281522362</v>
      </c>
      <c r="C92" s="269">
        <f t="shared" ref="C92:C97" si="8">B92/B$98</f>
        <v>0.44420858289607446</v>
      </c>
      <c r="D92" s="271">
        <f>D39+D40+D41+D42</f>
        <v>21.755480660089869</v>
      </c>
      <c r="E92" s="269">
        <f t="shared" ref="E92:E97" si="9">D92/D$98</f>
        <v>0.58808356736513356</v>
      </c>
      <c r="F92" s="271">
        <f>F39+F40+F41+F42</f>
        <v>20.019470787094782</v>
      </c>
      <c r="G92" s="269">
        <f t="shared" ref="G92:G97" si="10">F92/F$98</f>
        <v>0.63757546220161831</v>
      </c>
    </row>
    <row r="93" spans="1:7" x14ac:dyDescent="0.35">
      <c r="A93" s="270" t="s">
        <v>10</v>
      </c>
      <c r="B93" s="271">
        <f>B38</f>
        <v>2.2111780400429062</v>
      </c>
      <c r="C93" s="269">
        <f t="shared" si="8"/>
        <v>3.7190883620562144E-2</v>
      </c>
      <c r="D93" s="271">
        <f>D38</f>
        <v>0.68846802678866792</v>
      </c>
      <c r="E93" s="269">
        <f t="shared" si="9"/>
        <v>1.8610332703586502E-2</v>
      </c>
      <c r="F93" s="271">
        <f>F38</f>
        <v>0.78756156117577591</v>
      </c>
      <c r="G93" s="269">
        <f t="shared" si="10"/>
        <v>2.5082077928981174E-2</v>
      </c>
    </row>
    <row r="94" spans="1:7" x14ac:dyDescent="0.35">
      <c r="A94" s="270" t="s">
        <v>88</v>
      </c>
      <c r="B94" s="271">
        <f>B37</f>
        <v>4.3351737191514692</v>
      </c>
      <c r="C94" s="269">
        <f t="shared" si="8"/>
        <v>7.2915404523804572E-2</v>
      </c>
      <c r="D94" s="271">
        <f>D37</f>
        <v>1.166685304547364</v>
      </c>
      <c r="E94" s="269">
        <f t="shared" si="9"/>
        <v>3.153726946375162E-2</v>
      </c>
      <c r="F94" s="271">
        <f>F37</f>
        <v>0.56127974133201164</v>
      </c>
      <c r="G94" s="269">
        <f t="shared" si="10"/>
        <v>1.7875507015642462E-2</v>
      </c>
    </row>
    <row r="95" spans="1:7" x14ac:dyDescent="0.35">
      <c r="A95" s="270" t="s">
        <v>44</v>
      </c>
      <c r="B95" s="271">
        <f>B43</f>
        <v>4.1320698769184414</v>
      </c>
      <c r="C95" s="269">
        <f t="shared" si="8"/>
        <v>6.9499301784637091E-2</v>
      </c>
      <c r="D95" s="271">
        <f>D43</f>
        <v>1.9592334457019238</v>
      </c>
      <c r="E95" s="269">
        <f t="shared" si="9"/>
        <v>5.2961045175303909E-2</v>
      </c>
      <c r="F95" s="271">
        <f>F43</f>
        <v>1.7225163675427584</v>
      </c>
      <c r="G95" s="269">
        <f t="shared" si="10"/>
        <v>5.4858301743614779E-2</v>
      </c>
    </row>
    <row r="96" spans="1:7" x14ac:dyDescent="0.35">
      <c r="A96" s="270" t="s">
        <v>125</v>
      </c>
      <c r="B96" s="271">
        <f>B44</f>
        <v>3.7088771917635177</v>
      </c>
      <c r="C96" s="269">
        <f t="shared" si="8"/>
        <v>6.2381417282507824E-2</v>
      </c>
      <c r="D96" s="271">
        <f>D44</f>
        <v>2.5569867437127831</v>
      </c>
      <c r="E96" s="269">
        <f t="shared" si="9"/>
        <v>6.9119221470777578E-2</v>
      </c>
      <c r="F96" s="271">
        <f>F44</f>
        <v>2.3090828457145336</v>
      </c>
      <c r="G96" s="269">
        <f t="shared" si="10"/>
        <v>7.3539134888985697E-2</v>
      </c>
    </row>
    <row r="97" spans="1:8" x14ac:dyDescent="0.35">
      <c r="A97" s="270" t="s">
        <v>209</v>
      </c>
      <c r="B97" s="271">
        <f>B85</f>
        <v>18.657191022992976</v>
      </c>
      <c r="C97" s="269">
        <f t="shared" si="8"/>
        <v>0.31380440989241387</v>
      </c>
      <c r="D97" s="271">
        <f>D85</f>
        <v>8.8670049701024229</v>
      </c>
      <c r="E97" s="269">
        <f t="shared" si="9"/>
        <v>0.23968856382144682</v>
      </c>
      <c r="F97" s="271">
        <f>F85</f>
        <v>5.9994633185619568</v>
      </c>
      <c r="G97" s="269">
        <f t="shared" si="10"/>
        <v>0.19106951622115748</v>
      </c>
    </row>
    <row r="98" spans="1:8" x14ac:dyDescent="0.35">
      <c r="A98" s="270" t="s">
        <v>70</v>
      </c>
      <c r="B98" s="271">
        <f>SUM(B92:B97)</f>
        <v>59.454840132391674</v>
      </c>
      <c r="C98" s="268"/>
      <c r="D98" s="271">
        <f>SUM(D92:D97)</f>
        <v>36.993859150943031</v>
      </c>
      <c r="E98" s="272"/>
      <c r="F98" s="271">
        <f>SUM(F92:F97)</f>
        <v>31.399374621421821</v>
      </c>
      <c r="G98" s="273"/>
    </row>
    <row r="100" spans="1:8" x14ac:dyDescent="0.35">
      <c r="A100" s="420"/>
      <c r="B100" s="420"/>
      <c r="C100" s="420"/>
      <c r="D100" s="420"/>
      <c r="E100" s="420"/>
      <c r="F100" s="420"/>
      <c r="G100" s="420"/>
      <c r="H100" s="420"/>
    </row>
    <row r="101" spans="1:8" ht="15" customHeight="1" x14ac:dyDescent="0.35">
      <c r="A101" s="420"/>
      <c r="B101" s="420"/>
      <c r="C101" s="420"/>
      <c r="D101" s="420"/>
      <c r="E101" s="420"/>
      <c r="F101" s="420"/>
      <c r="G101" s="420"/>
      <c r="H101" s="420"/>
    </row>
    <row r="102" spans="1:8" ht="14.25" customHeight="1" x14ac:dyDescent="0.35">
      <c r="A102" s="350"/>
      <c r="B102" s="406"/>
      <c r="C102" s="377"/>
      <c r="D102" s="377"/>
      <c r="E102" s="377"/>
      <c r="F102" s="377"/>
      <c r="G102" s="420"/>
      <c r="H102" s="420"/>
    </row>
    <row r="103" spans="1:8" x14ac:dyDescent="0.35">
      <c r="A103" s="421"/>
      <c r="B103" s="421"/>
      <c r="C103" s="404"/>
      <c r="D103" s="404"/>
      <c r="E103" s="404"/>
      <c r="F103" s="404"/>
      <c r="G103" s="420"/>
      <c r="H103" s="420"/>
    </row>
    <row r="104" spans="1:8" x14ac:dyDescent="0.35">
      <c r="A104" s="421"/>
      <c r="B104" s="421"/>
      <c r="C104" s="404"/>
      <c r="D104" s="404"/>
      <c r="E104" s="404"/>
      <c r="F104" s="404"/>
      <c r="G104" s="420"/>
      <c r="H104" s="420"/>
    </row>
    <row r="105" spans="1:8" x14ac:dyDescent="0.35">
      <c r="A105" s="421"/>
      <c r="B105" s="404"/>
      <c r="C105" s="404"/>
      <c r="D105" s="404"/>
      <c r="E105" s="404"/>
      <c r="F105" s="404"/>
      <c r="G105" s="420"/>
      <c r="H105" s="420"/>
    </row>
    <row r="106" spans="1:8" x14ac:dyDescent="0.35">
      <c r="A106" s="421"/>
      <c r="B106" s="404"/>
      <c r="C106" s="404"/>
      <c r="D106" s="404"/>
      <c r="E106" s="404"/>
      <c r="F106" s="404"/>
      <c r="G106" s="420"/>
      <c r="H106" s="420"/>
    </row>
    <row r="107" spans="1:8" x14ac:dyDescent="0.35">
      <c r="A107" s="421"/>
      <c r="B107" s="404"/>
      <c r="C107" s="404"/>
      <c r="D107" s="404"/>
      <c r="E107" s="404"/>
      <c r="F107" s="404"/>
      <c r="G107" s="420"/>
      <c r="H107" s="420"/>
    </row>
    <row r="108" spans="1:8" x14ac:dyDescent="0.35">
      <c r="A108" s="421"/>
      <c r="B108" s="404"/>
      <c r="C108" s="404"/>
      <c r="D108" s="404"/>
      <c r="E108" s="404"/>
      <c r="F108" s="404"/>
      <c r="G108" s="420"/>
      <c r="H108" s="420"/>
    </row>
    <row r="109" spans="1:8" x14ac:dyDescent="0.35">
      <c r="A109" s="421"/>
      <c r="B109" s="404"/>
      <c r="C109" s="404"/>
      <c r="D109" s="404"/>
      <c r="E109" s="404"/>
      <c r="F109" s="404"/>
      <c r="G109" s="420"/>
      <c r="H109" s="420"/>
    </row>
    <row r="110" spans="1:8" x14ac:dyDescent="0.35">
      <c r="A110" s="421"/>
      <c r="B110" s="404"/>
      <c r="C110" s="404"/>
      <c r="D110" s="404"/>
      <c r="E110" s="404"/>
      <c r="F110" s="404"/>
      <c r="G110" s="420"/>
      <c r="H110" s="420"/>
    </row>
    <row r="111" spans="1:8" x14ac:dyDescent="0.35">
      <c r="A111" s="421"/>
      <c r="B111" s="404"/>
      <c r="C111" s="404"/>
      <c r="D111" s="404"/>
      <c r="E111" s="404"/>
      <c r="F111" s="404"/>
      <c r="G111" s="420"/>
      <c r="H111" s="420"/>
    </row>
    <row r="112" spans="1:8" x14ac:dyDescent="0.35">
      <c r="A112" s="421"/>
      <c r="B112" s="404"/>
      <c r="C112" s="404"/>
      <c r="D112" s="404"/>
      <c r="E112" s="404"/>
      <c r="F112" s="404"/>
      <c r="G112" s="420"/>
      <c r="H112" s="420"/>
    </row>
    <row r="113" spans="1:8" x14ac:dyDescent="0.35">
      <c r="A113" s="421"/>
      <c r="B113" s="421"/>
      <c r="C113" s="404"/>
      <c r="D113" s="404"/>
      <c r="E113" s="404"/>
      <c r="F113" s="404"/>
      <c r="G113" s="420"/>
      <c r="H113" s="420"/>
    </row>
    <row r="114" spans="1:8" x14ac:dyDescent="0.35">
      <c r="A114" s="421"/>
      <c r="B114" s="385"/>
      <c r="C114" s="404"/>
      <c r="D114" s="404"/>
      <c r="E114" s="404"/>
      <c r="F114" s="404"/>
      <c r="G114" s="420"/>
      <c r="H114" s="420"/>
    </row>
    <row r="115" spans="1:8" x14ac:dyDescent="0.35">
      <c r="A115" s="421"/>
      <c r="B115" s="421"/>
      <c r="C115" s="421"/>
      <c r="D115" s="421"/>
      <c r="E115" s="421"/>
      <c r="F115" s="421"/>
      <c r="G115" s="420"/>
      <c r="H115" s="420"/>
    </row>
    <row r="116" spans="1:8" x14ac:dyDescent="0.35">
      <c r="A116" s="348"/>
      <c r="B116" s="348"/>
      <c r="C116" s="403"/>
      <c r="D116" s="403"/>
      <c r="E116" s="403"/>
      <c r="F116" s="403"/>
      <c r="G116" s="420"/>
      <c r="H116" s="420"/>
    </row>
    <row r="117" spans="1:8" x14ac:dyDescent="0.35">
      <c r="A117" s="420"/>
      <c r="B117" s="420"/>
      <c r="C117" s="420"/>
      <c r="D117" s="420"/>
      <c r="E117" s="420"/>
      <c r="F117" s="420"/>
      <c r="G117" s="420"/>
      <c r="H117" s="420"/>
    </row>
    <row r="118" spans="1:8" x14ac:dyDescent="0.35">
      <c r="A118" s="420"/>
      <c r="B118" s="420"/>
      <c r="C118" s="420"/>
      <c r="D118" s="420"/>
      <c r="E118" s="420"/>
      <c r="F118" s="420"/>
      <c r="G118" s="420"/>
      <c r="H118" s="420"/>
    </row>
    <row r="119" spans="1:8" x14ac:dyDescent="0.35">
      <c r="A119" s="421"/>
      <c r="B119" s="418"/>
      <c r="C119" s="420"/>
      <c r="D119" s="420"/>
      <c r="E119" s="420"/>
      <c r="F119" s="420"/>
      <c r="G119" s="420"/>
      <c r="H119" s="420"/>
    </row>
    <row r="120" spans="1:8" x14ac:dyDescent="0.35">
      <c r="A120" s="421"/>
      <c r="B120" s="336"/>
      <c r="C120" s="420"/>
      <c r="D120" s="420"/>
      <c r="E120" s="420"/>
      <c r="F120" s="420"/>
      <c r="G120" s="420"/>
      <c r="H120" s="420"/>
    </row>
    <row r="121" spans="1:8" x14ac:dyDescent="0.35">
      <c r="A121" s="421"/>
      <c r="B121" s="336"/>
      <c r="C121" s="420"/>
      <c r="D121" s="420"/>
      <c r="E121" s="420"/>
      <c r="F121" s="420"/>
      <c r="G121" s="420"/>
      <c r="H121" s="420"/>
    </row>
    <row r="122" spans="1:8" x14ac:dyDescent="0.35">
      <c r="A122" s="421"/>
      <c r="B122" s="336"/>
      <c r="C122" s="420"/>
      <c r="D122" s="420"/>
      <c r="E122" s="420"/>
      <c r="F122" s="420"/>
      <c r="G122" s="420"/>
      <c r="H122" s="420"/>
    </row>
    <row r="123" spans="1:8" x14ac:dyDescent="0.35">
      <c r="A123" s="421"/>
      <c r="B123" s="336"/>
      <c r="C123" s="422"/>
      <c r="D123" s="420"/>
      <c r="E123" s="420"/>
      <c r="F123" s="420"/>
      <c r="G123" s="420"/>
      <c r="H123" s="420"/>
    </row>
    <row r="124" spans="1:8" x14ac:dyDescent="0.35">
      <c r="A124" s="421"/>
      <c r="B124" s="336"/>
      <c r="C124" s="420"/>
      <c r="D124" s="420"/>
      <c r="E124" s="420"/>
      <c r="F124" s="420"/>
      <c r="G124" s="420"/>
      <c r="H124" s="420"/>
    </row>
    <row r="125" spans="1:8" x14ac:dyDescent="0.35">
      <c r="A125" s="420"/>
      <c r="B125" s="420"/>
      <c r="C125" s="420"/>
      <c r="D125" s="420"/>
      <c r="E125" s="420"/>
      <c r="F125" s="420"/>
      <c r="G125" s="420"/>
      <c r="H125" s="420"/>
    </row>
    <row r="126" spans="1:8" x14ac:dyDescent="0.35">
      <c r="A126" s="420"/>
      <c r="B126" s="420"/>
      <c r="C126" s="420"/>
      <c r="D126" s="420"/>
      <c r="E126" s="420"/>
      <c r="F126" s="420"/>
      <c r="G126" s="420"/>
      <c r="H126" s="420"/>
    </row>
    <row r="127" spans="1:8" x14ac:dyDescent="0.35">
      <c r="A127" s="420"/>
      <c r="B127" s="420"/>
      <c r="C127" s="420"/>
      <c r="D127" s="420"/>
      <c r="E127" s="420"/>
      <c r="F127" s="420"/>
      <c r="G127" s="420"/>
      <c r="H127" s="420"/>
    </row>
    <row r="128" spans="1:8" x14ac:dyDescent="0.35">
      <c r="A128" s="420"/>
      <c r="B128" s="420"/>
      <c r="C128" s="420"/>
      <c r="D128" s="420"/>
      <c r="E128" s="420"/>
      <c r="F128" s="420"/>
      <c r="G128" s="420"/>
      <c r="H128" s="420"/>
    </row>
    <row r="129" spans="1:8" x14ac:dyDescent="0.35">
      <c r="A129" s="348"/>
      <c r="B129" s="418"/>
      <c r="C129" s="418"/>
      <c r="D129" s="418"/>
      <c r="E129" s="418"/>
      <c r="F129" s="420"/>
      <c r="G129" s="420"/>
      <c r="H129" s="420"/>
    </row>
    <row r="130" spans="1:8" x14ac:dyDescent="0.35">
      <c r="A130" s="421"/>
      <c r="B130" s="404"/>
      <c r="C130" s="404"/>
      <c r="D130" s="337"/>
      <c r="E130" s="404"/>
      <c r="F130" s="420"/>
      <c r="G130" s="420"/>
      <c r="H130" s="420"/>
    </row>
    <row r="131" spans="1:8" x14ac:dyDescent="0.35">
      <c r="A131" s="421"/>
      <c r="B131" s="404"/>
      <c r="C131" s="404"/>
      <c r="D131" s="337"/>
      <c r="E131" s="343"/>
      <c r="F131" s="420"/>
      <c r="G131" s="420"/>
      <c r="H131" s="420"/>
    </row>
    <row r="132" spans="1:8" x14ac:dyDescent="0.35">
      <c r="A132" s="421"/>
      <c r="B132" s="404"/>
      <c r="C132" s="404"/>
      <c r="D132" s="337"/>
      <c r="E132" s="343"/>
      <c r="F132" s="420"/>
      <c r="G132" s="420"/>
      <c r="H132" s="420"/>
    </row>
    <row r="133" spans="1:8" x14ac:dyDescent="0.35">
      <c r="A133" s="421"/>
      <c r="B133" s="404"/>
      <c r="C133" s="404"/>
      <c r="D133" s="337"/>
      <c r="E133" s="343"/>
      <c r="F133" s="420"/>
      <c r="G133" s="420"/>
      <c r="H133" s="420"/>
    </row>
    <row r="134" spans="1:8" x14ac:dyDescent="0.35">
      <c r="A134" s="421"/>
      <c r="B134" s="404"/>
      <c r="C134" s="404"/>
      <c r="D134" s="337"/>
      <c r="E134" s="343"/>
      <c r="F134" s="420"/>
      <c r="G134" s="420"/>
      <c r="H134" s="420"/>
    </row>
    <row r="135" spans="1:8" x14ac:dyDescent="0.35">
      <c r="A135" s="421"/>
      <c r="B135" s="404"/>
      <c r="C135" s="404"/>
      <c r="D135" s="337"/>
      <c r="E135" s="404"/>
      <c r="F135" s="420"/>
      <c r="G135" s="420"/>
      <c r="H135" s="420"/>
    </row>
    <row r="136" spans="1:8" x14ac:dyDescent="0.35">
      <c r="A136" s="421"/>
      <c r="B136" s="404"/>
      <c r="C136" s="404"/>
      <c r="D136" s="337"/>
      <c r="E136" s="404"/>
      <c r="F136" s="420"/>
      <c r="G136" s="420"/>
      <c r="H136" s="420"/>
    </row>
    <row r="137" spans="1:8" x14ac:dyDescent="0.35">
      <c r="A137" s="421"/>
      <c r="B137" s="404"/>
      <c r="C137" s="404"/>
      <c r="D137" s="337"/>
      <c r="E137" s="404"/>
      <c r="F137" s="420"/>
      <c r="G137" s="420"/>
      <c r="H137" s="420"/>
    </row>
    <row r="138" spans="1:8" x14ac:dyDescent="0.35">
      <c r="A138" s="421"/>
      <c r="B138" s="404"/>
      <c r="C138" s="404"/>
      <c r="D138" s="337"/>
      <c r="E138" s="404"/>
      <c r="F138" s="420"/>
      <c r="G138" s="420"/>
      <c r="H138" s="420"/>
    </row>
    <row r="139" spans="1:8" x14ac:dyDescent="0.35">
      <c r="A139" s="421"/>
      <c r="B139" s="404"/>
      <c r="C139" s="404"/>
      <c r="D139" s="404"/>
      <c r="E139" s="405"/>
      <c r="F139" s="420"/>
      <c r="G139" s="420"/>
      <c r="H139" s="420"/>
    </row>
    <row r="140" spans="1:8" x14ac:dyDescent="0.35">
      <c r="A140" s="421"/>
      <c r="B140" s="404"/>
      <c r="C140" s="404"/>
      <c r="D140" s="404"/>
      <c r="E140" s="405"/>
      <c r="F140" s="420"/>
      <c r="G140" s="420"/>
      <c r="H140" s="420"/>
    </row>
    <row r="141" spans="1:8" x14ac:dyDescent="0.35">
      <c r="A141" s="421"/>
      <c r="B141" s="421"/>
      <c r="C141" s="421"/>
      <c r="D141" s="421"/>
      <c r="E141" s="421"/>
      <c r="F141" s="420"/>
      <c r="G141" s="420"/>
      <c r="H141" s="420"/>
    </row>
    <row r="142" spans="1:8" x14ac:dyDescent="0.35">
      <c r="A142" s="421"/>
      <c r="B142" s="421"/>
      <c r="C142" s="421"/>
      <c r="D142" s="421"/>
      <c r="E142" s="421"/>
      <c r="F142" s="420"/>
      <c r="G142" s="420"/>
      <c r="H142" s="420"/>
    </row>
    <row r="143" spans="1:8" x14ac:dyDescent="0.35">
      <c r="A143" s="348"/>
      <c r="B143" s="346"/>
      <c r="C143" s="346"/>
      <c r="D143" s="346"/>
      <c r="E143" s="346"/>
      <c r="F143" s="420"/>
      <c r="G143" s="420"/>
      <c r="H143" s="420"/>
    </row>
    <row r="144" spans="1:8" x14ac:dyDescent="0.35">
      <c r="A144" s="420"/>
      <c r="B144" s="420"/>
      <c r="C144" s="420"/>
      <c r="D144" s="420"/>
      <c r="E144" s="420"/>
      <c r="F144" s="420"/>
      <c r="G144" s="420"/>
      <c r="H144" s="420"/>
    </row>
    <row r="145" spans="1:8" x14ac:dyDescent="0.35">
      <c r="A145" s="348"/>
      <c r="B145" s="418"/>
      <c r="C145" s="420"/>
      <c r="D145" s="420"/>
      <c r="E145" s="420"/>
      <c r="F145" s="420"/>
      <c r="G145" s="420"/>
      <c r="H145" s="420"/>
    </row>
    <row r="146" spans="1:8" x14ac:dyDescent="0.35">
      <c r="A146" s="421"/>
      <c r="B146" s="380"/>
      <c r="C146" s="420"/>
      <c r="D146" s="420"/>
      <c r="E146" s="420"/>
      <c r="F146" s="420"/>
      <c r="G146" s="420"/>
      <c r="H146" s="420"/>
    </row>
    <row r="147" spans="1:8" x14ac:dyDescent="0.35">
      <c r="A147" s="421"/>
      <c r="B147" s="380"/>
      <c r="C147" s="420"/>
      <c r="D147" s="420"/>
      <c r="E147" s="420"/>
      <c r="F147" s="420"/>
      <c r="G147" s="420"/>
      <c r="H147" s="420"/>
    </row>
    <row r="148" spans="1:8" x14ac:dyDescent="0.35">
      <c r="A148" s="421"/>
      <c r="B148" s="380"/>
      <c r="C148" s="420"/>
      <c r="D148" s="420"/>
      <c r="E148" s="420"/>
      <c r="F148" s="420"/>
      <c r="G148" s="420"/>
      <c r="H148" s="420"/>
    </row>
    <row r="149" spans="1:8" x14ac:dyDescent="0.35">
      <c r="A149" s="421"/>
      <c r="B149" s="380"/>
      <c r="C149" s="420"/>
      <c r="D149" s="420"/>
      <c r="E149" s="420"/>
      <c r="F149" s="420"/>
      <c r="G149" s="420"/>
      <c r="H149" s="420"/>
    </row>
    <row r="150" spans="1:8" x14ac:dyDescent="0.35">
      <c r="A150" s="421"/>
      <c r="B150" s="380"/>
      <c r="C150" s="420"/>
      <c r="D150" s="420"/>
      <c r="E150" s="420"/>
      <c r="F150" s="420"/>
      <c r="G150" s="420"/>
      <c r="H150" s="420"/>
    </row>
    <row r="151" spans="1:8" x14ac:dyDescent="0.35">
      <c r="A151" s="421"/>
      <c r="B151" s="380"/>
      <c r="C151" s="420"/>
      <c r="D151" s="420"/>
      <c r="E151" s="420"/>
      <c r="F151" s="420"/>
      <c r="G151" s="420"/>
      <c r="H151" s="420"/>
    </row>
    <row r="152" spans="1:8" x14ac:dyDescent="0.35">
      <c r="A152" s="421"/>
      <c r="B152" s="380"/>
      <c r="C152" s="420"/>
      <c r="D152" s="420"/>
      <c r="E152" s="420"/>
      <c r="F152" s="420"/>
      <c r="G152" s="420"/>
      <c r="H152" s="420"/>
    </row>
    <row r="153" spans="1:8" x14ac:dyDescent="0.35">
      <c r="A153" s="421"/>
      <c r="B153" s="380"/>
      <c r="C153" s="420"/>
      <c r="D153" s="420"/>
      <c r="E153" s="420"/>
      <c r="F153" s="420"/>
      <c r="G153" s="420"/>
      <c r="H153" s="420"/>
    </row>
    <row r="154" spans="1:8" x14ac:dyDescent="0.35">
      <c r="A154" s="421"/>
      <c r="B154" s="344"/>
      <c r="C154" s="420"/>
      <c r="D154" s="420"/>
      <c r="E154" s="420"/>
      <c r="F154" s="420"/>
      <c r="G154" s="420"/>
      <c r="H154" s="420"/>
    </row>
    <row r="155" spans="1:8" x14ac:dyDescent="0.35">
      <c r="A155" s="348"/>
      <c r="B155" s="418"/>
      <c r="C155" s="420"/>
      <c r="D155" s="420"/>
      <c r="E155" s="420"/>
      <c r="F155" s="420"/>
      <c r="G155" s="420"/>
      <c r="H155" s="420"/>
    </row>
    <row r="156" spans="1:8" x14ac:dyDescent="0.35">
      <c r="A156" s="379"/>
      <c r="B156" s="339"/>
      <c r="C156" s="420"/>
      <c r="D156" s="420"/>
      <c r="E156" s="420"/>
      <c r="F156" s="420"/>
      <c r="G156" s="420"/>
      <c r="H156" s="420"/>
    </row>
    <row r="157" spans="1:8" x14ac:dyDescent="0.35">
      <c r="A157" s="420"/>
      <c r="B157" s="375"/>
      <c r="C157" s="420"/>
      <c r="D157" s="420"/>
      <c r="E157" s="420"/>
      <c r="F157" s="420"/>
      <c r="G157" s="420"/>
      <c r="H157" s="420"/>
    </row>
    <row r="158" spans="1:8" x14ac:dyDescent="0.35">
      <c r="A158" s="348"/>
      <c r="B158" s="418"/>
      <c r="C158" s="420"/>
      <c r="D158" s="420"/>
      <c r="E158" s="420"/>
      <c r="F158" s="420"/>
      <c r="G158" s="420"/>
      <c r="H158" s="420"/>
    </row>
    <row r="159" spans="1:8" x14ac:dyDescent="0.35">
      <c r="A159" s="421"/>
      <c r="B159" s="341"/>
      <c r="C159" s="420"/>
      <c r="D159" s="420"/>
      <c r="E159" s="420"/>
      <c r="F159" s="420"/>
      <c r="G159" s="420"/>
      <c r="H159" s="420"/>
    </row>
    <row r="160" spans="1:8" x14ac:dyDescent="0.35">
      <c r="A160" s="421"/>
      <c r="B160" s="341"/>
      <c r="C160" s="420"/>
      <c r="D160" s="420"/>
      <c r="E160" s="420"/>
      <c r="F160" s="420"/>
      <c r="G160" s="420"/>
      <c r="H160" s="420"/>
    </row>
    <row r="161" spans="1:8" x14ac:dyDescent="0.35">
      <c r="A161" s="421"/>
      <c r="B161" s="341"/>
      <c r="C161" s="420"/>
      <c r="D161" s="420"/>
      <c r="E161" s="420"/>
      <c r="F161" s="420"/>
      <c r="G161" s="420"/>
      <c r="H161" s="420"/>
    </row>
    <row r="162" spans="1:8" x14ac:dyDescent="0.35">
      <c r="A162" s="421"/>
      <c r="B162" s="341"/>
      <c r="C162" s="420"/>
      <c r="D162" s="420"/>
      <c r="E162" s="420"/>
      <c r="F162" s="420"/>
      <c r="G162" s="420"/>
      <c r="H162" s="420"/>
    </row>
    <row r="163" spans="1:8" x14ac:dyDescent="0.35">
      <c r="A163" s="421"/>
      <c r="B163" s="341"/>
      <c r="C163" s="420"/>
      <c r="D163" s="420"/>
      <c r="E163" s="420"/>
      <c r="F163" s="420"/>
      <c r="G163" s="420"/>
      <c r="H163" s="420"/>
    </row>
    <row r="164" spans="1:8" x14ac:dyDescent="0.35">
      <c r="A164" s="421"/>
      <c r="B164" s="341"/>
      <c r="C164" s="420"/>
      <c r="D164" s="420"/>
      <c r="E164" s="420"/>
      <c r="F164" s="420"/>
      <c r="G164" s="420"/>
      <c r="H164" s="420"/>
    </row>
    <row r="165" spans="1:8" x14ac:dyDescent="0.35">
      <c r="A165" s="421"/>
      <c r="B165" s="344"/>
      <c r="C165" s="420"/>
      <c r="D165" s="420"/>
      <c r="E165" s="420"/>
      <c r="F165" s="420"/>
      <c r="G165" s="420"/>
      <c r="H165" s="420"/>
    </row>
    <row r="166" spans="1:8" x14ac:dyDescent="0.35">
      <c r="A166" s="348"/>
      <c r="B166" s="388"/>
      <c r="C166" s="420"/>
      <c r="D166" s="420"/>
      <c r="E166" s="420"/>
      <c r="F166" s="420"/>
      <c r="G166" s="420"/>
      <c r="H166" s="420"/>
    </row>
    <row r="167" spans="1:8" x14ac:dyDescent="0.35">
      <c r="A167" s="420"/>
      <c r="B167" s="420"/>
      <c r="C167" s="420"/>
      <c r="D167" s="420"/>
      <c r="E167" s="420"/>
      <c r="F167" s="420"/>
      <c r="G167" s="420"/>
      <c r="H167" s="420"/>
    </row>
    <row r="168" spans="1:8" x14ac:dyDescent="0.35">
      <c r="A168" s="420"/>
      <c r="B168" s="420"/>
      <c r="C168" s="420"/>
      <c r="D168" s="420"/>
      <c r="E168" s="420"/>
      <c r="F168" s="420"/>
      <c r="G168" s="420"/>
      <c r="H168" s="420"/>
    </row>
    <row r="169" spans="1:8" x14ac:dyDescent="0.35">
      <c r="A169" s="420"/>
      <c r="B169" s="420"/>
      <c r="C169" s="420"/>
      <c r="D169" s="420"/>
      <c r="E169" s="420"/>
      <c r="F169" s="420"/>
      <c r="G169" s="420"/>
      <c r="H169" s="420"/>
    </row>
    <row r="170" spans="1:8" x14ac:dyDescent="0.35">
      <c r="A170" s="420"/>
      <c r="B170" s="420"/>
      <c r="C170" s="420"/>
      <c r="D170" s="420"/>
      <c r="E170" s="420"/>
      <c r="F170" s="420"/>
      <c r="G170" s="420"/>
      <c r="H170" s="420"/>
    </row>
    <row r="171" spans="1:8" x14ac:dyDescent="0.35">
      <c r="A171" s="420"/>
      <c r="B171" s="420"/>
      <c r="C171" s="420"/>
      <c r="D171" s="420"/>
      <c r="E171" s="420"/>
      <c r="F171" s="420"/>
      <c r="G171" s="420"/>
      <c r="H171" s="420"/>
    </row>
    <row r="172" spans="1:8" x14ac:dyDescent="0.35">
      <c r="A172" s="420"/>
      <c r="B172" s="420"/>
      <c r="C172" s="420"/>
      <c r="D172" s="420"/>
      <c r="E172" s="420"/>
      <c r="F172" s="420"/>
      <c r="G172" s="420"/>
      <c r="H172" s="420"/>
    </row>
    <row r="173" spans="1:8" x14ac:dyDescent="0.35">
      <c r="A173" s="420"/>
      <c r="B173" s="420"/>
      <c r="C173" s="420"/>
      <c r="D173" s="420"/>
      <c r="E173" s="420"/>
      <c r="F173" s="420"/>
      <c r="G173" s="420"/>
      <c r="H173" s="420"/>
    </row>
    <row r="174" spans="1:8" x14ac:dyDescent="0.35">
      <c r="A174" s="420"/>
      <c r="B174" s="420"/>
      <c r="C174" s="420"/>
      <c r="D174" s="420"/>
      <c r="E174" s="420"/>
      <c r="F174" s="420"/>
      <c r="G174" s="420"/>
      <c r="H174" s="420"/>
    </row>
    <row r="175" spans="1:8" x14ac:dyDescent="0.35">
      <c r="A175" s="420"/>
      <c r="B175" s="420"/>
      <c r="C175" s="420"/>
      <c r="D175" s="420"/>
      <c r="E175" s="420"/>
      <c r="F175" s="420"/>
      <c r="G175" s="420"/>
      <c r="H175" s="420"/>
    </row>
    <row r="176" spans="1:8" x14ac:dyDescent="0.35">
      <c r="A176" s="420"/>
      <c r="B176" s="420"/>
      <c r="C176" s="420"/>
      <c r="D176" s="420"/>
      <c r="E176" s="420"/>
      <c r="F176" s="420"/>
      <c r="G176" s="420"/>
      <c r="H176" s="420"/>
    </row>
    <row r="177" spans="1:8" x14ac:dyDescent="0.35">
      <c r="A177" s="420"/>
      <c r="B177" s="420"/>
      <c r="C177" s="420"/>
      <c r="D177" s="420"/>
      <c r="E177" s="420"/>
      <c r="F177" s="420"/>
      <c r="G177" s="420"/>
      <c r="H177" s="420"/>
    </row>
    <row r="178" spans="1:8" x14ac:dyDescent="0.35">
      <c r="A178" s="420"/>
      <c r="B178" s="420"/>
      <c r="C178" s="420"/>
      <c r="D178" s="420"/>
      <c r="E178" s="420"/>
      <c r="F178" s="420"/>
      <c r="G178" s="420"/>
      <c r="H178" s="420"/>
    </row>
    <row r="179" spans="1:8" x14ac:dyDescent="0.35">
      <c r="A179" s="420"/>
      <c r="B179" s="420"/>
      <c r="C179" s="420"/>
      <c r="D179" s="420"/>
      <c r="E179" s="420"/>
      <c r="F179" s="420"/>
      <c r="G179" s="420"/>
      <c r="H179" s="420"/>
    </row>
    <row r="180" spans="1:8" x14ac:dyDescent="0.35">
      <c r="A180" s="420"/>
      <c r="B180" s="420"/>
      <c r="C180" s="420"/>
      <c r="D180" s="420"/>
      <c r="E180" s="420"/>
      <c r="F180" s="420"/>
      <c r="G180" s="420"/>
      <c r="H180" s="420"/>
    </row>
  </sheetData>
  <sortState ref="A44:A47">
    <sortCondition descending="1" ref="A47"/>
  </sortState>
  <mergeCells count="13">
    <mergeCell ref="A5:A6"/>
    <mergeCell ref="F77:G77"/>
    <mergeCell ref="A77:A78"/>
    <mergeCell ref="F90:G90"/>
    <mergeCell ref="B90:C90"/>
    <mergeCell ref="D90:E90"/>
    <mergeCell ref="A50:A51"/>
    <mergeCell ref="A63:A64"/>
    <mergeCell ref="B77:C77"/>
    <mergeCell ref="D77:E77"/>
    <mergeCell ref="F35:G35"/>
    <mergeCell ref="B35:C35"/>
    <mergeCell ref="D35:E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6"/>
  <sheetViews>
    <sheetView zoomScale="90" zoomScaleNormal="90" workbookViewId="0">
      <selection activeCell="D161" sqref="D161"/>
    </sheetView>
  </sheetViews>
  <sheetFormatPr defaultRowHeight="14.5" x14ac:dyDescent="0.35"/>
  <cols>
    <col min="1" max="1" width="25.1796875" customWidth="1"/>
    <col min="2" max="2" width="15" customWidth="1"/>
    <col min="3" max="3" width="14.6328125" customWidth="1"/>
    <col min="4" max="4" width="16.36328125" customWidth="1"/>
  </cols>
  <sheetData>
    <row r="2" spans="1:6" x14ac:dyDescent="0.35">
      <c r="A2" t="s">
        <v>212</v>
      </c>
      <c r="B2">
        <v>1</v>
      </c>
      <c r="C2">
        <v>10</v>
      </c>
      <c r="D2">
        <v>50</v>
      </c>
      <c r="E2">
        <v>100</v>
      </c>
    </row>
    <row r="3" spans="1:6" x14ac:dyDescent="0.35">
      <c r="A3" t="s">
        <v>213</v>
      </c>
      <c r="B3">
        <f>'CBS ($ per kW)'!J1</f>
        <v>980</v>
      </c>
      <c r="C3" s="266">
        <f>'CBS ($ per kW)'!L1</f>
        <v>9800</v>
      </c>
      <c r="D3" s="266">
        <f>'CBS ($ per kW)'!N1</f>
        <v>49000</v>
      </c>
      <c r="E3" s="266">
        <f>'CBS ($ per kW)'!P1</f>
        <v>98000</v>
      </c>
      <c r="F3" s="266"/>
    </row>
    <row r="4" spans="1:6" x14ac:dyDescent="0.35">
      <c r="A4" s="266" t="s">
        <v>214</v>
      </c>
      <c r="B4">
        <f>B3/1000</f>
        <v>0.98</v>
      </c>
      <c r="C4" s="266">
        <f t="shared" ref="C4:E4" si="0">C3/1000</f>
        <v>9.8000000000000007</v>
      </c>
      <c r="D4" s="266">
        <f t="shared" si="0"/>
        <v>49</v>
      </c>
      <c r="E4" s="266">
        <f t="shared" si="0"/>
        <v>98</v>
      </c>
    </row>
    <row r="26" s="277" customFormat="1" x14ac:dyDescent="0.35"/>
    <row r="27" s="277" customFormat="1" x14ac:dyDescent="0.35"/>
    <row r="28" s="277" customFormat="1" x14ac:dyDescent="0.35"/>
    <row r="29" s="277" customFormat="1" x14ac:dyDescent="0.35"/>
    <row r="30" s="277" customFormat="1" x14ac:dyDescent="0.35"/>
    <row r="31" s="277" customFormat="1" x14ac:dyDescent="0.35"/>
    <row r="32" s="277" customFormat="1" x14ac:dyDescent="0.35"/>
    <row r="33" s="277" customFormat="1" x14ac:dyDescent="0.35"/>
    <row r="34" s="277" customFormat="1" x14ac:dyDescent="0.35"/>
    <row r="35" s="277" customFormat="1" x14ac:dyDescent="0.35"/>
    <row r="36" s="277" customFormat="1" x14ac:dyDescent="0.35"/>
    <row r="37" s="277" customFormat="1" x14ac:dyDescent="0.35"/>
    <row r="38" s="277" customFormat="1" x14ac:dyDescent="0.35"/>
    <row r="39" s="277" customFormat="1" x14ac:dyDescent="0.35"/>
    <row r="40" s="277" customFormat="1" x14ac:dyDescent="0.35"/>
    <row r="41" s="277" customFormat="1" x14ac:dyDescent="0.35"/>
    <row r="42" s="277" customFormat="1" x14ac:dyDescent="0.35"/>
    <row r="43" s="277" customFormat="1" x14ac:dyDescent="0.35"/>
    <row r="44" s="277" customFormat="1" x14ac:dyDescent="0.35"/>
    <row r="45" s="277" customFormat="1" x14ac:dyDescent="0.35"/>
    <row r="46" s="277" customFormat="1" x14ac:dyDescent="0.35"/>
    <row r="47" s="277" customFormat="1" x14ac:dyDescent="0.35"/>
    <row r="48" s="277" customFormat="1" x14ac:dyDescent="0.35"/>
    <row r="49" s="277" customFormat="1" x14ac:dyDescent="0.35"/>
    <row r="50" s="277" customFormat="1" x14ac:dyDescent="0.35"/>
    <row r="51" s="277" customFormat="1" x14ac:dyDescent="0.35"/>
    <row r="52" s="277" customFormat="1" x14ac:dyDescent="0.35"/>
    <row r="53" s="277" customFormat="1" x14ac:dyDescent="0.35"/>
    <row r="54" s="277" customFormat="1" x14ac:dyDescent="0.35"/>
    <row r="55" s="277" customFormat="1" x14ac:dyDescent="0.35"/>
    <row r="56" s="277" customFormat="1" x14ac:dyDescent="0.35"/>
    <row r="57" s="277" customFormat="1" x14ac:dyDescent="0.35"/>
    <row r="58" s="277" customFormat="1" x14ac:dyDescent="0.35"/>
    <row r="59" s="277" customFormat="1" x14ac:dyDescent="0.35"/>
    <row r="60" s="277" customFormat="1" x14ac:dyDescent="0.35"/>
    <row r="61" s="277" customFormat="1" x14ac:dyDescent="0.35"/>
    <row r="62" s="277" customFormat="1" x14ac:dyDescent="0.35"/>
    <row r="63" s="277" customFormat="1" x14ac:dyDescent="0.35"/>
    <row r="64" s="277" customFormat="1" x14ac:dyDescent="0.35"/>
    <row r="65" s="277" customFormat="1" x14ac:dyDescent="0.35"/>
    <row r="66" s="277" customFormat="1" x14ac:dyDescent="0.35"/>
    <row r="67" s="277" customFormat="1" x14ac:dyDescent="0.35"/>
    <row r="68" s="277" customFormat="1" x14ac:dyDescent="0.35"/>
    <row r="69" s="277" customFormat="1" x14ac:dyDescent="0.35"/>
    <row r="110" s="277" customFormat="1" x14ac:dyDescent="0.35"/>
    <row r="111" s="277" customFormat="1" x14ac:dyDescent="0.35"/>
    <row r="112" s="277" customFormat="1" x14ac:dyDescent="0.35"/>
    <row r="113" s="277" customFormat="1" x14ac:dyDescent="0.35"/>
    <row r="114" s="277" customFormat="1" x14ac:dyDescent="0.35"/>
    <row r="115" s="277" customFormat="1" x14ac:dyDescent="0.35"/>
    <row r="116" s="277" customFormat="1" x14ac:dyDescent="0.35"/>
    <row r="117" s="277" customFormat="1" x14ac:dyDescent="0.35"/>
    <row r="118" s="277" customFormat="1" x14ac:dyDescent="0.35"/>
    <row r="119" s="277" customFormat="1" x14ac:dyDescent="0.35"/>
    <row r="120" s="277" customFormat="1" x14ac:dyDescent="0.35"/>
    <row r="121" s="277" customFormat="1" x14ac:dyDescent="0.35"/>
    <row r="122" s="277" customFormat="1" x14ac:dyDescent="0.35"/>
    <row r="123" s="277" customFormat="1" x14ac:dyDescent="0.35"/>
    <row r="124" s="277" customFormat="1" x14ac:dyDescent="0.35"/>
    <row r="125" s="277" customFormat="1" x14ac:dyDescent="0.35"/>
    <row r="126" s="277" customFormat="1" x14ac:dyDescent="0.35"/>
    <row r="127" s="277" customFormat="1" x14ac:dyDescent="0.35"/>
    <row r="129" s="277" customFormat="1" x14ac:dyDescent="0.35"/>
    <row r="130" s="277" customFormat="1" x14ac:dyDescent="0.35"/>
    <row r="131" s="277" customFormat="1" x14ac:dyDescent="0.35"/>
    <row r="133" s="277" customFormat="1" x14ac:dyDescent="0.35"/>
    <row r="134" s="277" customFormat="1" x14ac:dyDescent="0.35"/>
    <row r="135" s="277" customFormat="1" x14ac:dyDescent="0.35"/>
    <row r="136" s="277" customFormat="1" x14ac:dyDescent="0.35"/>
    <row r="137" s="277" customFormat="1" x14ac:dyDescent="0.35"/>
    <row r="138" s="277" customFormat="1" x14ac:dyDescent="0.35"/>
    <row r="139" s="277" customFormat="1" x14ac:dyDescent="0.35"/>
    <row r="140" s="277" customFormat="1" x14ac:dyDescent="0.35"/>
    <row r="141" s="277" customFormat="1" x14ac:dyDescent="0.35"/>
    <row r="155" s="695" customFormat="1" x14ac:dyDescent="0.35"/>
    <row r="156" s="695" customFormat="1" x14ac:dyDescent="0.35"/>
    <row r="157" s="695" customFormat="1" x14ac:dyDescent="0.35"/>
    <row r="158" s="695" customFormat="1" x14ac:dyDescent="0.35"/>
    <row r="159" s="695" customFormat="1" x14ac:dyDescent="0.35"/>
    <row r="160" s="695" customFormat="1" x14ac:dyDescent="0.35"/>
    <row r="161" s="695" customFormat="1" x14ac:dyDescent="0.35"/>
    <row r="162" s="695" customFormat="1" x14ac:dyDescent="0.35"/>
    <row r="163" s="695" customFormat="1" x14ac:dyDescent="0.35"/>
    <row r="164" s="695" customFormat="1" x14ac:dyDescent="0.35"/>
    <row r="165" s="695" customFormat="1" x14ac:dyDescent="0.35"/>
    <row r="166" s="695" customFormat="1" x14ac:dyDescent="0.35"/>
    <row r="167" s="695" customFormat="1" x14ac:dyDescent="0.35"/>
    <row r="168" s="695" customFormat="1" x14ac:dyDescent="0.35"/>
    <row r="169" s="695" customFormat="1" x14ac:dyDescent="0.35"/>
    <row r="170" s="695" customFormat="1" x14ac:dyDescent="0.35"/>
    <row r="171" s="695" customFormat="1" x14ac:dyDescent="0.35"/>
    <row r="172" s="695" customFormat="1" x14ac:dyDescent="0.35"/>
    <row r="173" s="695" customFormat="1" x14ac:dyDescent="0.35"/>
    <row r="174" s="695" customFormat="1" x14ac:dyDescent="0.35"/>
    <row r="175" s="695" customFormat="1" x14ac:dyDescent="0.35"/>
    <row r="176" s="695" customFormat="1" x14ac:dyDescent="0.35"/>
    <row r="177" s="695" customFormat="1" x14ac:dyDescent="0.35"/>
    <row r="178" s="695" customFormat="1" x14ac:dyDescent="0.35"/>
    <row r="179" s="695" customFormat="1" x14ac:dyDescent="0.35"/>
    <row r="180" s="695" customFormat="1" x14ac:dyDescent="0.35"/>
    <row r="181" s="695" customFormat="1" x14ac:dyDescent="0.35"/>
    <row r="182" s="695" customFormat="1" x14ac:dyDescent="0.35"/>
    <row r="183" s="695" customFormat="1" x14ac:dyDescent="0.35"/>
    <row r="184" s="695" customFormat="1" x14ac:dyDescent="0.35"/>
    <row r="185" s="695" customFormat="1" x14ac:dyDescent="0.35"/>
    <row r="186" s="695" customForma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E143"/>
  <sheetViews>
    <sheetView zoomScale="70" zoomScaleNormal="70" workbookViewId="0">
      <selection activeCell="M139" sqref="M139"/>
    </sheetView>
  </sheetViews>
  <sheetFormatPr defaultColWidth="9.08984375" defaultRowHeight="12.5" outlineLevelRow="1" x14ac:dyDescent="0.25"/>
  <cols>
    <col min="1" max="1" width="3" style="121" customWidth="1"/>
    <col min="2" max="2" width="11.453125" style="121" customWidth="1"/>
    <col min="3" max="3" width="11" style="121" customWidth="1"/>
    <col min="4" max="7" width="8.6328125" style="121" customWidth="1"/>
    <col min="8" max="8" width="8.6328125" style="365" customWidth="1"/>
    <col min="9" max="9" width="8.6328125" style="468" customWidth="1"/>
    <col min="10" max="10" width="8.6328125" style="121" customWidth="1"/>
    <col min="11" max="12" width="8.6328125" style="169" customWidth="1"/>
    <col min="13" max="14" width="8.6328125" style="121" customWidth="1"/>
    <col min="15" max="15" width="8.6328125" style="120" customWidth="1"/>
    <col min="16" max="18" width="8.6328125" style="121" customWidth="1"/>
    <col min="19" max="19" width="9.1796875" style="121" customWidth="1"/>
    <col min="20" max="20" width="9.26953125" style="121" customWidth="1"/>
    <col min="21" max="21" width="9" style="121" customWidth="1"/>
    <col min="22" max="22" width="11.453125" style="121" bestFit="1" customWidth="1"/>
    <col min="23" max="16384" width="9.08984375" style="121"/>
  </cols>
  <sheetData>
    <row r="1" spans="1:31" s="119" customFormat="1" ht="15.5" x14ac:dyDescent="0.35">
      <c r="A1" s="166" t="s">
        <v>153</v>
      </c>
      <c r="B1" s="167"/>
      <c r="C1" s="167"/>
      <c r="D1" s="167"/>
      <c r="E1" s="167"/>
      <c r="F1" s="167"/>
      <c r="G1" s="167"/>
      <c r="H1" s="363"/>
      <c r="I1" s="473"/>
      <c r="J1" s="167"/>
      <c r="K1" s="167"/>
      <c r="L1" s="167"/>
      <c r="M1" s="167"/>
      <c r="N1" s="167"/>
      <c r="O1" s="166" t="s">
        <v>164</v>
      </c>
      <c r="P1" s="167"/>
      <c r="Q1" s="167"/>
      <c r="R1" s="167"/>
      <c r="S1" s="167"/>
      <c r="T1" s="167"/>
      <c r="U1" s="167"/>
    </row>
    <row r="2" spans="1:31" ht="12.75" customHeight="1" x14ac:dyDescent="0.25">
      <c r="A2" s="168"/>
      <c r="B2" s="168"/>
      <c r="C2" s="169"/>
      <c r="D2" s="169"/>
      <c r="E2" s="169"/>
      <c r="F2" s="169"/>
      <c r="G2" s="169"/>
      <c r="J2" s="169"/>
      <c r="M2" s="169"/>
      <c r="N2" s="169"/>
      <c r="O2" s="168"/>
      <c r="P2" s="168"/>
      <c r="Q2" s="168"/>
      <c r="R2" s="168"/>
      <c r="S2" s="168"/>
      <c r="T2" s="168"/>
      <c r="U2" s="168"/>
      <c r="V2" s="120"/>
      <c r="Z2" s="122"/>
    </row>
    <row r="3" spans="1:31" s="216" customFormat="1" ht="12.75" customHeight="1" x14ac:dyDescent="0.25">
      <c r="A3" s="215" t="s">
        <v>197</v>
      </c>
      <c r="B3" s="215"/>
      <c r="H3" s="365"/>
      <c r="I3" s="468"/>
      <c r="O3" s="215"/>
      <c r="P3" s="215"/>
      <c r="Q3" s="215"/>
      <c r="R3" s="215"/>
      <c r="S3" s="215"/>
      <c r="T3" s="215"/>
      <c r="U3" s="215"/>
      <c r="V3" s="215"/>
      <c r="Z3" s="217"/>
    </row>
    <row r="4" spans="1:31" s="216" customFormat="1" ht="12.75" customHeight="1" x14ac:dyDescent="0.25">
      <c r="A4" s="215"/>
      <c r="B4" s="215"/>
      <c r="H4" s="365"/>
      <c r="I4" s="468"/>
      <c r="O4" s="215"/>
      <c r="P4" s="215"/>
      <c r="Q4" s="215"/>
      <c r="R4" s="215"/>
      <c r="S4" s="215"/>
      <c r="T4" s="215"/>
      <c r="U4" s="215"/>
      <c r="V4" s="215"/>
      <c r="Z4" s="217"/>
    </row>
    <row r="5" spans="1:31" ht="14" x14ac:dyDescent="0.3">
      <c r="A5" s="170" t="s">
        <v>254</v>
      </c>
      <c r="B5" s="171"/>
      <c r="C5" s="168"/>
      <c r="D5" s="168"/>
      <c r="E5" s="168"/>
      <c r="F5" s="172"/>
      <c r="G5" s="172"/>
      <c r="H5" s="372"/>
      <c r="I5" s="471"/>
      <c r="J5" s="168"/>
      <c r="K5" s="168"/>
      <c r="L5" s="168"/>
      <c r="M5" s="168"/>
      <c r="N5" s="169"/>
      <c r="O5" s="170" t="s">
        <v>165</v>
      </c>
      <c r="P5" s="530"/>
      <c r="Q5" s="530"/>
      <c r="R5" s="530"/>
      <c r="S5" s="530"/>
      <c r="T5" s="530"/>
      <c r="U5" s="168"/>
      <c r="V5" s="124"/>
      <c r="W5" s="505"/>
      <c r="X5" s="506"/>
      <c r="Y5" s="506"/>
      <c r="Z5" s="526"/>
    </row>
    <row r="6" spans="1:31" ht="14" outlineLevel="1" x14ac:dyDescent="0.3">
      <c r="A6" s="174"/>
      <c r="B6" s="500" t="s">
        <v>255</v>
      </c>
      <c r="C6" s="500"/>
      <c r="D6" s="500"/>
      <c r="E6" s="500"/>
      <c r="F6" s="175"/>
      <c r="G6" s="515">
        <v>0.7</v>
      </c>
      <c r="H6" s="168"/>
      <c r="I6" s="469"/>
      <c r="K6" s="168"/>
      <c r="L6" s="168"/>
      <c r="M6" s="168"/>
      <c r="N6" s="169"/>
      <c r="O6" s="168"/>
      <c r="P6" s="532" t="s">
        <v>257</v>
      </c>
      <c r="Q6" s="532"/>
      <c r="R6" s="532"/>
      <c r="S6" s="194">
        <f>SUMPRODUCT(D24:D43,U24:U43)/SUM(U24:U43)</f>
        <v>2.3812265880290111</v>
      </c>
      <c r="T6" s="537" t="s">
        <v>116</v>
      </c>
      <c r="U6" s="177"/>
      <c r="V6" s="126"/>
      <c r="W6" s="501"/>
      <c r="X6" s="501"/>
      <c r="Y6" s="501"/>
      <c r="Z6" s="501"/>
      <c r="AA6" s="126"/>
      <c r="AB6" s="127"/>
      <c r="AC6" s="127"/>
      <c r="AD6" s="120"/>
      <c r="AE6" s="120"/>
    </row>
    <row r="7" spans="1:31" ht="14" outlineLevel="1" x14ac:dyDescent="0.3">
      <c r="A7" s="504"/>
      <c r="B7" s="546" t="s">
        <v>260</v>
      </c>
      <c r="C7" s="546"/>
      <c r="D7" s="546"/>
      <c r="E7" s="546"/>
      <c r="F7" s="498"/>
      <c r="G7" s="525">
        <v>980</v>
      </c>
      <c r="H7" s="168" t="s">
        <v>123</v>
      </c>
      <c r="I7" s="469"/>
      <c r="K7" s="168"/>
      <c r="L7" s="168"/>
      <c r="M7" s="168"/>
      <c r="N7" s="169"/>
      <c r="O7" s="168"/>
      <c r="P7" s="532" t="s">
        <v>258</v>
      </c>
      <c r="Q7" s="532"/>
      <c r="R7" s="532"/>
      <c r="S7" s="194">
        <f>SUMPRODUCT(E23:T23,E44:T44)/SUM(E44:T44)</f>
        <v>9.2517334821072765</v>
      </c>
      <c r="T7" s="537" t="s">
        <v>259</v>
      </c>
      <c r="U7" s="177"/>
      <c r="V7" s="126"/>
      <c r="W7" s="501"/>
      <c r="X7" s="528"/>
      <c r="Y7" s="501"/>
      <c r="Z7" s="501"/>
      <c r="AA7" s="126"/>
      <c r="AB7" s="127"/>
      <c r="AC7" s="127"/>
      <c r="AD7" s="120"/>
      <c r="AE7" s="120"/>
    </row>
    <row r="8" spans="1:31" s="365" customFormat="1" ht="14" outlineLevel="1" x14ac:dyDescent="0.3">
      <c r="A8" s="504"/>
      <c r="B8" s="502"/>
      <c r="C8" s="498"/>
      <c r="D8" s="498"/>
      <c r="E8" s="498"/>
      <c r="F8" s="498"/>
      <c r="G8" s="548"/>
      <c r="H8" s="364"/>
      <c r="I8" s="469"/>
      <c r="K8" s="364"/>
      <c r="L8" s="364"/>
      <c r="M8" s="364"/>
      <c r="O8" s="364"/>
      <c r="P8" s="547" t="s">
        <v>154</v>
      </c>
      <c r="Q8" s="546"/>
      <c r="R8" s="546"/>
      <c r="S8" s="559">
        <f>SUMPRODUCT(E24:T43,E49:T68)/SUM(U24:U43)</f>
        <v>33.50109316470072</v>
      </c>
      <c r="T8" s="558" t="s">
        <v>256</v>
      </c>
      <c r="U8" s="373"/>
      <c r="V8" s="366"/>
      <c r="W8" s="501"/>
      <c r="X8" s="528"/>
      <c r="Y8" s="501"/>
      <c r="Z8" s="501"/>
      <c r="AA8" s="366"/>
      <c r="AB8" s="367"/>
      <c r="AC8" s="367"/>
      <c r="AD8" s="364"/>
      <c r="AE8" s="364"/>
    </row>
    <row r="9" spans="1:31" s="459" customFormat="1" ht="13" outlineLevel="1" x14ac:dyDescent="0.3">
      <c r="A9" s="170" t="s">
        <v>160</v>
      </c>
      <c r="B9" s="173"/>
      <c r="C9" s="173"/>
      <c r="D9" s="173"/>
      <c r="E9" s="173"/>
      <c r="F9" s="172"/>
      <c r="G9" s="542"/>
      <c r="H9" s="168"/>
      <c r="I9" s="469"/>
      <c r="K9" s="460"/>
      <c r="L9" s="460"/>
      <c r="M9" s="460"/>
      <c r="O9" s="460"/>
      <c r="P9" s="542"/>
      <c r="Q9" s="541"/>
      <c r="R9" s="541"/>
      <c r="S9" s="549"/>
      <c r="T9" s="541"/>
      <c r="U9" s="461"/>
      <c r="V9" s="463"/>
      <c r="W9" s="501"/>
      <c r="X9" s="528"/>
      <c r="Y9" s="501"/>
      <c r="Z9" s="501"/>
      <c r="AA9" s="463"/>
      <c r="AB9" s="462"/>
      <c r="AC9" s="462"/>
      <c r="AD9" s="460"/>
      <c r="AE9" s="460"/>
    </row>
    <row r="10" spans="1:31" outlineLevel="1" x14ac:dyDescent="0.25">
      <c r="A10" s="168"/>
      <c r="B10" s="178" t="s">
        <v>162</v>
      </c>
      <c r="C10" s="178"/>
      <c r="D10" s="178"/>
      <c r="E10" s="178"/>
      <c r="F10" s="175"/>
      <c r="G10" s="133">
        <v>0.95</v>
      </c>
      <c r="H10" s="364"/>
      <c r="I10" s="469"/>
      <c r="K10" s="168"/>
      <c r="L10" s="168"/>
      <c r="M10" s="168"/>
      <c r="N10" s="169"/>
      <c r="O10" s="168"/>
      <c r="U10" s="168"/>
      <c r="V10" s="120"/>
      <c r="W10" s="531"/>
      <c r="X10" s="531"/>
      <c r="Y10" s="531"/>
      <c r="Z10" s="524"/>
      <c r="AA10" s="120"/>
      <c r="AB10" s="120"/>
      <c r="AC10" s="120"/>
      <c r="AD10" s="120"/>
      <c r="AE10" s="120"/>
    </row>
    <row r="11" spans="1:31" s="365" customFormat="1" outlineLevel="1" x14ac:dyDescent="0.25">
      <c r="A11" s="168"/>
      <c r="B11" s="550" t="s">
        <v>137</v>
      </c>
      <c r="C11" s="546"/>
      <c r="D11" s="546"/>
      <c r="E11" s="546"/>
      <c r="F11" s="175"/>
      <c r="G11" s="133">
        <v>0.98</v>
      </c>
      <c r="H11" s="179"/>
      <c r="I11" s="470"/>
      <c r="K11" s="364"/>
      <c r="L11" s="364"/>
      <c r="M11" s="364"/>
      <c r="O11" s="364"/>
      <c r="U11" s="364"/>
      <c r="V11" s="364"/>
      <c r="W11" s="531"/>
      <c r="X11" s="531"/>
      <c r="Y11" s="531"/>
      <c r="Z11" s="524"/>
      <c r="AA11" s="364"/>
      <c r="AB11" s="364"/>
      <c r="AC11" s="364"/>
      <c r="AD11" s="364"/>
      <c r="AE11" s="364"/>
    </row>
    <row r="12" spans="1:31" ht="13" outlineLevel="1" x14ac:dyDescent="0.3">
      <c r="G12" s="545"/>
      <c r="H12" s="179"/>
      <c r="I12" s="470"/>
      <c r="K12" s="179"/>
      <c r="L12" s="179"/>
      <c r="M12" s="168"/>
      <c r="N12" s="169"/>
      <c r="O12" s="170" t="s">
        <v>155</v>
      </c>
      <c r="P12" s="168"/>
      <c r="Q12" s="168"/>
      <c r="R12" s="168"/>
      <c r="S12" s="551"/>
      <c r="T12" s="180"/>
      <c r="U12" s="168"/>
      <c r="V12" s="120"/>
      <c r="W12" s="120"/>
      <c r="X12" s="120"/>
      <c r="Y12" s="120"/>
      <c r="Z12" s="128"/>
      <c r="AA12" s="120"/>
      <c r="AB12" s="120"/>
      <c r="AC12" s="120"/>
      <c r="AD12" s="120"/>
      <c r="AE12" s="120"/>
    </row>
    <row r="13" spans="1:31" outlineLevel="1" x14ac:dyDescent="0.25">
      <c r="G13" s="545"/>
      <c r="H13" s="438"/>
      <c r="K13" s="179"/>
      <c r="L13" s="179"/>
      <c r="M13" s="168"/>
      <c r="N13" s="169"/>
      <c r="O13" s="169"/>
      <c r="P13" s="181" t="s">
        <v>156</v>
      </c>
      <c r="Q13" s="178"/>
      <c r="R13" s="546"/>
      <c r="S13" s="559">
        <f>594*0.7</f>
        <v>415.79999999999995</v>
      </c>
      <c r="T13" s="183" t="s">
        <v>123</v>
      </c>
      <c r="U13" s="765" t="s">
        <v>1345</v>
      </c>
      <c r="V13" s="120"/>
      <c r="W13" s="120"/>
      <c r="X13" s="120"/>
      <c r="Y13" s="120"/>
      <c r="Z13" s="128"/>
      <c r="AA13" s="120">
        <v>594</v>
      </c>
      <c r="AB13" s="120"/>
      <c r="AC13" s="120"/>
      <c r="AD13" s="120"/>
      <c r="AE13" s="120"/>
    </row>
    <row r="14" spans="1:31" outlineLevel="1" x14ac:dyDescent="0.25">
      <c r="G14" s="545"/>
      <c r="H14" s="419"/>
      <c r="I14" s="470"/>
      <c r="K14" s="179"/>
      <c r="L14" s="179"/>
      <c r="M14" s="168"/>
      <c r="N14" s="169"/>
      <c r="O14" s="168"/>
      <c r="P14" s="185" t="s">
        <v>157</v>
      </c>
      <c r="Q14" s="178"/>
      <c r="R14" s="182"/>
      <c r="S14" s="538">
        <f>S13*G6</f>
        <v>291.05999999999995</v>
      </c>
      <c r="T14" s="176" t="s">
        <v>123</v>
      </c>
      <c r="U14" s="177"/>
      <c r="V14" s="120"/>
      <c r="W14" s="120"/>
      <c r="X14" s="120"/>
      <c r="Y14" s="120"/>
      <c r="Z14" s="128"/>
      <c r="AA14" s="120"/>
      <c r="AB14" s="120"/>
      <c r="AC14" s="120"/>
      <c r="AD14" s="120"/>
      <c r="AE14" s="120"/>
    </row>
    <row r="15" spans="1:31" s="478" customFormat="1" outlineLevel="1" x14ac:dyDescent="0.25">
      <c r="A15" s="498"/>
      <c r="B15" s="503"/>
      <c r="C15" s="503"/>
      <c r="D15" s="503"/>
      <c r="E15" s="503"/>
      <c r="F15" s="503"/>
      <c r="G15" s="352"/>
      <c r="H15" s="480"/>
      <c r="I15" s="480"/>
      <c r="K15" s="480"/>
      <c r="L15" s="480"/>
      <c r="M15" s="479"/>
      <c r="O15" s="479"/>
      <c r="P15" s="185" t="s">
        <v>158</v>
      </c>
      <c r="Q15" s="178"/>
      <c r="R15" s="182"/>
      <c r="S15" s="439">
        <f>G7</f>
        <v>980</v>
      </c>
      <c r="T15" s="176" t="s">
        <v>123</v>
      </c>
      <c r="U15" s="481"/>
      <c r="V15" s="479"/>
      <c r="W15" s="479"/>
      <c r="X15" s="479"/>
      <c r="Y15" s="479"/>
      <c r="Z15" s="368"/>
      <c r="AA15" s="479"/>
      <c r="AB15" s="479"/>
      <c r="AC15" s="479"/>
      <c r="AD15" s="479"/>
      <c r="AE15" s="479"/>
    </row>
    <row r="16" spans="1:31" s="478" customFormat="1" outlineLevel="1" x14ac:dyDescent="0.25">
      <c r="A16" s="498"/>
      <c r="B16" s="503"/>
      <c r="C16" s="503"/>
      <c r="D16" s="503"/>
      <c r="E16" s="503"/>
      <c r="F16" s="503"/>
      <c r="G16" s="352"/>
      <c r="H16" s="480"/>
      <c r="I16" s="480"/>
      <c r="K16" s="480"/>
      <c r="L16" s="480"/>
      <c r="M16" s="479"/>
      <c r="O16" s="479"/>
      <c r="P16" s="185" t="s">
        <v>159</v>
      </c>
      <c r="Q16" s="178"/>
      <c r="R16" s="182"/>
      <c r="S16" s="707">
        <f>S14/S15</f>
        <v>0.29699999999999993</v>
      </c>
      <c r="T16" s="176"/>
      <c r="U16" s="481"/>
      <c r="V16" s="479"/>
      <c r="W16" s="479"/>
      <c r="X16" s="479"/>
      <c r="Y16" s="479"/>
      <c r="Z16" s="368"/>
      <c r="AA16" s="479"/>
      <c r="AB16" s="479"/>
      <c r="AC16" s="479"/>
      <c r="AD16" s="479"/>
      <c r="AE16" s="479"/>
    </row>
    <row r="17" spans="1:31" outlineLevel="1" x14ac:dyDescent="0.25">
      <c r="A17" s="498"/>
      <c r="B17" s="498"/>
      <c r="C17" s="498"/>
      <c r="D17" s="498"/>
      <c r="E17" s="498"/>
      <c r="F17" s="498"/>
      <c r="G17" s="503"/>
      <c r="H17" s="419"/>
      <c r="I17" s="470"/>
      <c r="K17" s="179"/>
      <c r="L17" s="179"/>
      <c r="M17" s="168"/>
      <c r="N17" s="169"/>
      <c r="O17" s="168"/>
      <c r="P17" s="185" t="s">
        <v>138</v>
      </c>
      <c r="Q17" s="178"/>
      <c r="R17" s="182"/>
      <c r="S17" s="186">
        <f>S14*G10*G11*24*365/1000</f>
        <v>2373.7572935999992</v>
      </c>
      <c r="T17" s="187" t="s">
        <v>163</v>
      </c>
      <c r="U17" s="184"/>
      <c r="V17" s="120"/>
      <c r="W17" s="120"/>
      <c r="X17" s="120"/>
      <c r="Y17" s="120"/>
      <c r="Z17" s="128"/>
      <c r="AA17" s="120"/>
      <c r="AB17" s="120"/>
      <c r="AC17" s="120"/>
      <c r="AD17" s="120"/>
      <c r="AE17" s="120"/>
    </row>
    <row r="18" spans="1:31" outlineLevel="1" x14ac:dyDescent="0.25">
      <c r="A18" s="498"/>
      <c r="B18" s="498"/>
      <c r="C18" s="498"/>
      <c r="D18" s="498"/>
      <c r="E18" s="498"/>
      <c r="F18" s="498"/>
      <c r="G18" s="498"/>
      <c r="H18" s="179"/>
      <c r="I18" s="470"/>
      <c r="K18" s="179"/>
      <c r="L18" s="179"/>
      <c r="M18" s="168"/>
      <c r="N18" s="169"/>
      <c r="O18" s="168"/>
      <c r="P18" s="185" t="s">
        <v>161</v>
      </c>
      <c r="Q18" s="178"/>
      <c r="R18" s="182"/>
      <c r="S18" s="189">
        <f>S14/1.3</f>
        <v>223.89230769230764</v>
      </c>
      <c r="T18" s="190"/>
      <c r="U18" s="168"/>
      <c r="V18" s="120"/>
      <c r="W18" s="120"/>
      <c r="X18" s="120"/>
      <c r="Y18" s="120"/>
      <c r="Z18" s="128"/>
      <c r="AA18" s="120"/>
      <c r="AB18" s="120"/>
      <c r="AC18" s="120"/>
      <c r="AD18" s="120"/>
      <c r="AE18" s="120"/>
    </row>
    <row r="19" spans="1:31" ht="13" outlineLevel="1" x14ac:dyDescent="0.3">
      <c r="H19" s="168"/>
      <c r="I19" s="469"/>
      <c r="K19" s="168"/>
      <c r="L19" s="168"/>
      <c r="M19" s="168"/>
      <c r="N19" s="169"/>
      <c r="O19" s="168"/>
      <c r="U19" s="168"/>
      <c r="W19" s="123"/>
      <c r="X19" s="120"/>
      <c r="Y19" s="120"/>
      <c r="Z19" s="128"/>
      <c r="AA19" s="120"/>
      <c r="AB19" s="120"/>
      <c r="AC19" s="120"/>
      <c r="AD19" s="120"/>
      <c r="AE19" s="120"/>
    </row>
    <row r="20" spans="1:31" outlineLevel="1" x14ac:dyDescent="0.25">
      <c r="A20" s="168"/>
      <c r="B20" s="179"/>
      <c r="C20" s="179"/>
      <c r="D20" s="179"/>
      <c r="E20" s="179"/>
      <c r="F20" s="188"/>
      <c r="G20" s="188"/>
      <c r="H20" s="374"/>
      <c r="I20" s="472"/>
      <c r="J20" s="179"/>
      <c r="K20" s="179"/>
      <c r="L20" s="179"/>
      <c r="M20" s="168"/>
      <c r="N20" s="169"/>
      <c r="U20" s="168"/>
      <c r="W20" s="120"/>
      <c r="X20" s="120"/>
      <c r="Y20" s="130"/>
      <c r="Z20" s="125"/>
      <c r="AA20" s="120"/>
      <c r="AB20" s="120"/>
      <c r="AC20" s="120"/>
      <c r="AD20" s="120"/>
    </row>
    <row r="21" spans="1:31" ht="14" x14ac:dyDescent="0.3">
      <c r="A21" s="170" t="s">
        <v>266</v>
      </c>
      <c r="B21" s="191"/>
      <c r="C21" s="179"/>
      <c r="D21" s="179"/>
      <c r="E21" s="179"/>
      <c r="F21" s="188"/>
      <c r="G21" s="188"/>
      <c r="H21" s="374"/>
      <c r="I21" s="472"/>
      <c r="J21" s="179"/>
      <c r="K21" s="179"/>
      <c r="L21" s="179"/>
      <c r="M21" s="168"/>
      <c r="N21" s="169"/>
      <c r="O21" s="168"/>
      <c r="P21" s="168"/>
      <c r="Q21" s="168"/>
      <c r="R21" s="168"/>
      <c r="S21" s="192"/>
      <c r="T21" s="192"/>
      <c r="U21" s="168"/>
      <c r="W21" s="120"/>
      <c r="X21" s="120"/>
      <c r="Y21" s="120"/>
      <c r="Z21" s="125"/>
      <c r="AA21" s="130"/>
      <c r="AB21" s="120"/>
      <c r="AC21" s="120"/>
      <c r="AD21" s="120"/>
    </row>
    <row r="22" spans="1:31" s="540" customFormat="1" ht="14" x14ac:dyDescent="0.3">
      <c r="A22" s="543"/>
      <c r="B22" s="508"/>
      <c r="C22" s="544"/>
      <c r="D22" s="544"/>
      <c r="E22" s="544" t="s">
        <v>264</v>
      </c>
      <c r="F22" s="553"/>
      <c r="G22" s="553"/>
      <c r="H22" s="553"/>
      <c r="I22" s="553"/>
      <c r="J22" s="544"/>
      <c r="K22" s="544"/>
      <c r="L22" s="544"/>
      <c r="M22" s="541"/>
      <c r="O22" s="541"/>
      <c r="P22" s="541"/>
      <c r="Q22" s="541"/>
      <c r="R22" s="541"/>
      <c r="S22" s="507"/>
      <c r="T22" s="507"/>
      <c r="U22" s="541"/>
      <c r="W22" s="541"/>
      <c r="X22" s="541"/>
      <c r="Y22" s="541"/>
      <c r="Z22" s="499"/>
      <c r="AA22" s="552"/>
      <c r="AB22" s="541"/>
      <c r="AC22" s="541"/>
      <c r="AD22" s="541"/>
    </row>
    <row r="23" spans="1:31" ht="13" hidden="1" outlineLevel="1" x14ac:dyDescent="0.3">
      <c r="A23" s="168"/>
      <c r="D23" s="535"/>
      <c r="E23" s="536">
        <v>4.5</v>
      </c>
      <c r="F23" s="536">
        <v>5.5</v>
      </c>
      <c r="G23" s="536">
        <v>6.5</v>
      </c>
      <c r="H23" s="536">
        <v>7.5</v>
      </c>
      <c r="I23" s="536">
        <v>8.5</v>
      </c>
      <c r="J23" s="536">
        <v>9.5</v>
      </c>
      <c r="K23" s="536">
        <v>10.5</v>
      </c>
      <c r="L23" s="536">
        <v>11.5</v>
      </c>
      <c r="M23" s="536">
        <v>12.5</v>
      </c>
      <c r="N23" s="536">
        <v>13.5</v>
      </c>
      <c r="O23" s="536">
        <v>14.5</v>
      </c>
      <c r="P23" s="536">
        <v>15.5</v>
      </c>
      <c r="Q23" s="536">
        <v>16.5</v>
      </c>
      <c r="R23" s="536">
        <v>17.5</v>
      </c>
      <c r="S23" s="536">
        <v>18.5</v>
      </c>
      <c r="T23" s="536">
        <v>19.5</v>
      </c>
      <c r="U23" s="169"/>
      <c r="W23" s="120"/>
      <c r="X23" s="120"/>
      <c r="Y23" s="120"/>
      <c r="Z23" s="125"/>
      <c r="AA23" s="130"/>
      <c r="AB23" s="120"/>
      <c r="AC23" s="120"/>
      <c r="AD23" s="120"/>
    </row>
    <row r="24" spans="1:31" ht="13" hidden="1" outlineLevel="1" x14ac:dyDescent="0.3">
      <c r="A24" s="169"/>
      <c r="C24" s="121" t="s">
        <v>263</v>
      </c>
      <c r="D24" s="527">
        <v>0.25</v>
      </c>
      <c r="E24" s="557">
        <v>0</v>
      </c>
      <c r="F24" s="557">
        <v>0</v>
      </c>
      <c r="G24" s="557">
        <v>0</v>
      </c>
      <c r="H24" s="557">
        <v>0</v>
      </c>
      <c r="I24" s="557">
        <v>0</v>
      </c>
      <c r="J24" s="557">
        <v>0</v>
      </c>
      <c r="K24" s="557">
        <v>0</v>
      </c>
      <c r="L24" s="557">
        <v>0</v>
      </c>
      <c r="M24" s="557">
        <v>0</v>
      </c>
      <c r="N24" s="557">
        <v>0</v>
      </c>
      <c r="O24" s="557">
        <v>0</v>
      </c>
      <c r="P24" s="557">
        <v>0</v>
      </c>
      <c r="Q24" s="557">
        <v>0</v>
      </c>
      <c r="R24" s="557">
        <v>0</v>
      </c>
      <c r="S24" s="557">
        <v>0</v>
      </c>
      <c r="T24" s="557">
        <v>0</v>
      </c>
      <c r="U24" s="533">
        <f>SUM(E24:T24)</f>
        <v>0</v>
      </c>
      <c r="X24" s="120"/>
      <c r="Y24" s="120"/>
      <c r="Z24" s="125"/>
      <c r="AA24" s="120"/>
      <c r="AB24" s="120"/>
    </row>
    <row r="25" spans="1:31" ht="13" hidden="1" outlineLevel="1" x14ac:dyDescent="0.3">
      <c r="A25" s="169"/>
      <c r="D25" s="527">
        <v>0.75</v>
      </c>
      <c r="E25" s="557">
        <v>0</v>
      </c>
      <c r="F25" s="557">
        <v>4</v>
      </c>
      <c r="G25" s="557">
        <v>70</v>
      </c>
      <c r="H25" s="557">
        <v>101</v>
      </c>
      <c r="I25" s="557">
        <v>64</v>
      </c>
      <c r="J25" s="557">
        <v>67</v>
      </c>
      <c r="K25" s="557">
        <v>30</v>
      </c>
      <c r="L25" s="557">
        <v>4</v>
      </c>
      <c r="M25" s="557">
        <v>0</v>
      </c>
      <c r="N25" s="557">
        <v>1</v>
      </c>
      <c r="O25" s="557">
        <v>0</v>
      </c>
      <c r="P25" s="557">
        <v>1</v>
      </c>
      <c r="Q25" s="557">
        <v>0</v>
      </c>
      <c r="R25" s="557">
        <v>0</v>
      </c>
      <c r="S25" s="557">
        <v>0</v>
      </c>
      <c r="T25" s="557">
        <v>0</v>
      </c>
      <c r="U25" s="533">
        <f t="shared" ref="U25:U43" si="0">SUM(E25:T25)</f>
        <v>342</v>
      </c>
      <c r="X25" s="120"/>
      <c r="Y25" s="120"/>
      <c r="Z25" s="125"/>
      <c r="AA25" s="120"/>
      <c r="AB25" s="120"/>
    </row>
    <row r="26" spans="1:31" ht="13" hidden="1" outlineLevel="1" x14ac:dyDescent="0.3">
      <c r="A26" s="169"/>
      <c r="D26" s="527">
        <v>1.25</v>
      </c>
      <c r="E26" s="557">
        <v>2</v>
      </c>
      <c r="F26" s="557">
        <v>122</v>
      </c>
      <c r="G26" s="557">
        <v>342</v>
      </c>
      <c r="H26" s="557">
        <v>461</v>
      </c>
      <c r="I26" s="557">
        <v>510</v>
      </c>
      <c r="J26" s="557">
        <v>360</v>
      </c>
      <c r="K26" s="557">
        <v>182</v>
      </c>
      <c r="L26" s="557">
        <v>54</v>
      </c>
      <c r="M26" s="557">
        <v>14</v>
      </c>
      <c r="N26" s="557">
        <v>0</v>
      </c>
      <c r="O26" s="557">
        <v>0</v>
      </c>
      <c r="P26" s="557">
        <v>0</v>
      </c>
      <c r="Q26" s="557">
        <v>1</v>
      </c>
      <c r="R26" s="557">
        <v>1</v>
      </c>
      <c r="S26" s="557">
        <v>0</v>
      </c>
      <c r="T26" s="557">
        <v>0</v>
      </c>
      <c r="U26" s="533">
        <f t="shared" si="0"/>
        <v>2049</v>
      </c>
      <c r="X26" s="120"/>
      <c r="Y26" s="120"/>
      <c r="Z26" s="125"/>
      <c r="AA26" s="120"/>
      <c r="AB26" s="120"/>
    </row>
    <row r="27" spans="1:31" ht="13" hidden="1" outlineLevel="1" x14ac:dyDescent="0.3">
      <c r="A27" s="169"/>
      <c r="D27" s="527">
        <v>1.75</v>
      </c>
      <c r="E27" s="557">
        <v>0</v>
      </c>
      <c r="F27" s="557">
        <v>122</v>
      </c>
      <c r="G27" s="557">
        <v>553</v>
      </c>
      <c r="H27" s="557">
        <v>534</v>
      </c>
      <c r="I27" s="557">
        <v>513</v>
      </c>
      <c r="J27" s="557">
        <v>430</v>
      </c>
      <c r="K27" s="557">
        <v>252</v>
      </c>
      <c r="L27" s="557">
        <v>141</v>
      </c>
      <c r="M27" s="557">
        <v>80</v>
      </c>
      <c r="N27" s="557">
        <v>7</v>
      </c>
      <c r="O27" s="557">
        <v>0</v>
      </c>
      <c r="P27" s="557">
        <v>0</v>
      </c>
      <c r="Q27" s="557">
        <v>0</v>
      </c>
      <c r="R27" s="557">
        <v>1</v>
      </c>
      <c r="S27" s="557">
        <v>0</v>
      </c>
      <c r="T27" s="557">
        <v>0</v>
      </c>
      <c r="U27" s="533">
        <f t="shared" si="0"/>
        <v>2633</v>
      </c>
      <c r="X27" s="120"/>
      <c r="Y27" s="120"/>
      <c r="Z27" s="125"/>
      <c r="AA27" s="120"/>
      <c r="AB27" s="120"/>
    </row>
    <row r="28" spans="1:31" ht="13" hidden="1" outlineLevel="1" x14ac:dyDescent="0.3">
      <c r="A28" s="169"/>
      <c r="D28" s="527">
        <v>2.25</v>
      </c>
      <c r="E28" s="557">
        <v>0</v>
      </c>
      <c r="F28" s="557">
        <v>30</v>
      </c>
      <c r="G28" s="557">
        <v>437</v>
      </c>
      <c r="H28" s="557">
        <v>531</v>
      </c>
      <c r="I28" s="557">
        <v>454</v>
      </c>
      <c r="J28" s="557">
        <v>511</v>
      </c>
      <c r="K28" s="557">
        <v>395</v>
      </c>
      <c r="L28" s="557">
        <v>186</v>
      </c>
      <c r="M28" s="557">
        <v>148</v>
      </c>
      <c r="N28" s="557">
        <v>41</v>
      </c>
      <c r="O28" s="557">
        <v>4</v>
      </c>
      <c r="P28" s="557">
        <v>2</v>
      </c>
      <c r="Q28" s="557">
        <v>1</v>
      </c>
      <c r="R28" s="557">
        <v>0</v>
      </c>
      <c r="S28" s="557">
        <v>0</v>
      </c>
      <c r="T28" s="557">
        <v>0</v>
      </c>
      <c r="U28" s="533">
        <f t="shared" si="0"/>
        <v>2740</v>
      </c>
      <c r="W28" s="131"/>
      <c r="X28" s="120"/>
      <c r="Y28" s="120"/>
      <c r="AA28" s="120"/>
      <c r="AB28" s="120"/>
    </row>
    <row r="29" spans="1:31" ht="13" hidden="1" outlineLevel="1" x14ac:dyDescent="0.3">
      <c r="A29" s="169"/>
      <c r="D29" s="527">
        <v>2.75</v>
      </c>
      <c r="E29" s="557">
        <v>0</v>
      </c>
      <c r="F29" s="557">
        <v>1</v>
      </c>
      <c r="G29" s="557">
        <v>193</v>
      </c>
      <c r="H29" s="557">
        <v>314</v>
      </c>
      <c r="I29" s="557">
        <v>243</v>
      </c>
      <c r="J29" s="557">
        <v>407</v>
      </c>
      <c r="K29" s="557">
        <v>409</v>
      </c>
      <c r="L29" s="557">
        <v>220</v>
      </c>
      <c r="M29" s="557">
        <v>142</v>
      </c>
      <c r="N29" s="557">
        <v>47</v>
      </c>
      <c r="O29" s="557">
        <v>9</v>
      </c>
      <c r="P29" s="557">
        <v>8</v>
      </c>
      <c r="Q29" s="557">
        <v>0</v>
      </c>
      <c r="R29" s="557">
        <v>0</v>
      </c>
      <c r="S29" s="557">
        <v>0</v>
      </c>
      <c r="T29" s="557">
        <v>0</v>
      </c>
      <c r="U29" s="533">
        <f t="shared" si="0"/>
        <v>1993</v>
      </c>
      <c r="W29" s="132"/>
      <c r="X29" s="120"/>
      <c r="Y29" s="120"/>
      <c r="Z29" s="125"/>
      <c r="AA29" s="120"/>
      <c r="AB29" s="120"/>
    </row>
    <row r="30" spans="1:31" ht="13" hidden="1" outlineLevel="1" x14ac:dyDescent="0.3">
      <c r="A30" s="169"/>
      <c r="D30" s="527">
        <v>3.25</v>
      </c>
      <c r="E30" s="557">
        <v>0</v>
      </c>
      <c r="F30" s="557">
        <v>0</v>
      </c>
      <c r="G30" s="557">
        <v>15</v>
      </c>
      <c r="H30" s="557">
        <v>116</v>
      </c>
      <c r="I30" s="557">
        <v>115</v>
      </c>
      <c r="J30" s="557">
        <v>245</v>
      </c>
      <c r="K30" s="557">
        <v>298</v>
      </c>
      <c r="L30" s="557">
        <v>181</v>
      </c>
      <c r="M30" s="557">
        <v>101</v>
      </c>
      <c r="N30" s="557">
        <v>50</v>
      </c>
      <c r="O30" s="557">
        <v>18</v>
      </c>
      <c r="P30" s="557">
        <v>5</v>
      </c>
      <c r="Q30" s="557">
        <v>0</v>
      </c>
      <c r="R30" s="557">
        <v>0</v>
      </c>
      <c r="S30" s="557">
        <v>0</v>
      </c>
      <c r="T30" s="557">
        <v>0</v>
      </c>
      <c r="U30" s="533">
        <f t="shared" si="0"/>
        <v>1144</v>
      </c>
      <c r="W30" s="129"/>
      <c r="Z30" s="125"/>
    </row>
    <row r="31" spans="1:31" ht="13" hidden="1" outlineLevel="1" x14ac:dyDescent="0.3">
      <c r="A31" s="169"/>
      <c r="D31" s="527">
        <v>3.75</v>
      </c>
      <c r="E31" s="557">
        <v>0</v>
      </c>
      <c r="F31" s="557">
        <v>0</v>
      </c>
      <c r="G31" s="557">
        <v>2</v>
      </c>
      <c r="H31" s="557">
        <v>11</v>
      </c>
      <c r="I31" s="557">
        <v>29</v>
      </c>
      <c r="J31" s="557">
        <v>127</v>
      </c>
      <c r="K31" s="557">
        <v>242</v>
      </c>
      <c r="L31" s="557">
        <v>189</v>
      </c>
      <c r="M31" s="557">
        <v>66</v>
      </c>
      <c r="N31" s="557">
        <v>41</v>
      </c>
      <c r="O31" s="557">
        <v>28</v>
      </c>
      <c r="P31" s="557">
        <v>7</v>
      </c>
      <c r="Q31" s="557">
        <v>0</v>
      </c>
      <c r="R31" s="557">
        <v>0</v>
      </c>
      <c r="S31" s="557">
        <v>0</v>
      </c>
      <c r="T31" s="557">
        <v>0</v>
      </c>
      <c r="U31" s="533">
        <f t="shared" si="0"/>
        <v>742</v>
      </c>
      <c r="V31" s="120"/>
      <c r="W31" s="120"/>
      <c r="Z31" s="125"/>
    </row>
    <row r="32" spans="1:31" ht="13" hidden="1" outlineLevel="1" x14ac:dyDescent="0.3">
      <c r="A32" s="169"/>
      <c r="D32" s="527">
        <v>4.25</v>
      </c>
      <c r="E32" s="557">
        <v>0</v>
      </c>
      <c r="F32" s="557">
        <v>0</v>
      </c>
      <c r="G32" s="557">
        <v>0</v>
      </c>
      <c r="H32" s="557">
        <v>1</v>
      </c>
      <c r="I32" s="557">
        <v>6</v>
      </c>
      <c r="J32" s="557">
        <v>27</v>
      </c>
      <c r="K32" s="557">
        <v>125</v>
      </c>
      <c r="L32" s="557">
        <v>160</v>
      </c>
      <c r="M32" s="557">
        <v>69</v>
      </c>
      <c r="N32" s="557">
        <v>37</v>
      </c>
      <c r="O32" s="557">
        <v>19</v>
      </c>
      <c r="P32" s="557">
        <v>11</v>
      </c>
      <c r="Q32" s="557">
        <v>4</v>
      </c>
      <c r="R32" s="557">
        <v>0</v>
      </c>
      <c r="S32" s="557">
        <v>0</v>
      </c>
      <c r="T32" s="557">
        <v>0</v>
      </c>
      <c r="U32" s="533">
        <f t="shared" si="0"/>
        <v>459</v>
      </c>
      <c r="V32" s="120"/>
    </row>
    <row r="33" spans="1:22" ht="13" hidden="1" outlineLevel="1" x14ac:dyDescent="0.3">
      <c r="A33" s="169"/>
      <c r="D33" s="527">
        <v>4.75</v>
      </c>
      <c r="E33" s="557">
        <v>0</v>
      </c>
      <c r="F33" s="557">
        <v>0</v>
      </c>
      <c r="G33" s="557">
        <v>0</v>
      </c>
      <c r="H33" s="557">
        <v>0</v>
      </c>
      <c r="I33" s="557">
        <v>2</v>
      </c>
      <c r="J33" s="557">
        <v>5</v>
      </c>
      <c r="K33" s="557">
        <v>40</v>
      </c>
      <c r="L33" s="557">
        <v>55</v>
      </c>
      <c r="M33" s="557">
        <v>47</v>
      </c>
      <c r="N33" s="557">
        <v>29</v>
      </c>
      <c r="O33" s="557">
        <v>16</v>
      </c>
      <c r="P33" s="557">
        <v>8</v>
      </c>
      <c r="Q33" s="557">
        <v>1</v>
      </c>
      <c r="R33" s="557">
        <v>0</v>
      </c>
      <c r="S33" s="557">
        <v>0</v>
      </c>
      <c r="T33" s="557">
        <v>0</v>
      </c>
      <c r="U33" s="533">
        <f t="shared" si="0"/>
        <v>203</v>
      </c>
      <c r="V33" s="120"/>
    </row>
    <row r="34" spans="1:22" ht="13" hidden="1" outlineLevel="1" x14ac:dyDescent="0.3">
      <c r="A34" s="169"/>
      <c r="D34" s="527">
        <v>5.25</v>
      </c>
      <c r="E34" s="557">
        <v>0</v>
      </c>
      <c r="F34" s="557">
        <v>0</v>
      </c>
      <c r="G34" s="557">
        <v>0</v>
      </c>
      <c r="H34" s="557">
        <v>0</v>
      </c>
      <c r="I34" s="557">
        <v>0</v>
      </c>
      <c r="J34" s="557">
        <v>2</v>
      </c>
      <c r="K34" s="557">
        <v>16</v>
      </c>
      <c r="L34" s="557">
        <v>26</v>
      </c>
      <c r="M34" s="557">
        <v>32</v>
      </c>
      <c r="N34" s="557">
        <v>20</v>
      </c>
      <c r="O34" s="557">
        <v>8</v>
      </c>
      <c r="P34" s="557">
        <v>3</v>
      </c>
      <c r="Q34" s="557">
        <v>2</v>
      </c>
      <c r="R34" s="557">
        <v>0</v>
      </c>
      <c r="S34" s="557">
        <v>0</v>
      </c>
      <c r="T34" s="557">
        <v>0</v>
      </c>
      <c r="U34" s="533">
        <f t="shared" si="0"/>
        <v>109</v>
      </c>
      <c r="V34" s="120"/>
    </row>
    <row r="35" spans="1:22" ht="13" hidden="1" outlineLevel="1" x14ac:dyDescent="0.3">
      <c r="A35" s="169"/>
      <c r="D35" s="527">
        <v>5.75</v>
      </c>
      <c r="E35" s="557">
        <v>0</v>
      </c>
      <c r="F35" s="557">
        <v>0</v>
      </c>
      <c r="G35" s="557">
        <v>0</v>
      </c>
      <c r="H35" s="557">
        <v>0</v>
      </c>
      <c r="I35" s="557">
        <v>0</v>
      </c>
      <c r="J35" s="557">
        <v>1</v>
      </c>
      <c r="K35" s="557">
        <v>6</v>
      </c>
      <c r="L35" s="557">
        <v>19</v>
      </c>
      <c r="M35" s="557">
        <v>13</v>
      </c>
      <c r="N35" s="557">
        <v>18</v>
      </c>
      <c r="O35" s="557">
        <v>10</v>
      </c>
      <c r="P35" s="557">
        <v>1</v>
      </c>
      <c r="Q35" s="557">
        <v>1</v>
      </c>
      <c r="R35" s="557">
        <v>0</v>
      </c>
      <c r="S35" s="557">
        <v>0</v>
      </c>
      <c r="T35" s="557">
        <v>0</v>
      </c>
      <c r="U35" s="533">
        <f t="shared" si="0"/>
        <v>69</v>
      </c>
      <c r="V35" s="120"/>
    </row>
    <row r="36" spans="1:22" ht="13" hidden="1" outlineLevel="1" x14ac:dyDescent="0.3">
      <c r="A36" s="169"/>
      <c r="D36" s="527">
        <v>6.25</v>
      </c>
      <c r="E36" s="557">
        <v>0</v>
      </c>
      <c r="F36" s="557">
        <v>0</v>
      </c>
      <c r="G36" s="557">
        <v>0</v>
      </c>
      <c r="H36" s="557">
        <v>0</v>
      </c>
      <c r="I36" s="557">
        <v>0</v>
      </c>
      <c r="J36" s="557">
        <v>0</v>
      </c>
      <c r="K36" s="557">
        <v>3</v>
      </c>
      <c r="L36" s="557">
        <v>8</v>
      </c>
      <c r="M36" s="557">
        <v>10</v>
      </c>
      <c r="N36" s="557">
        <v>16</v>
      </c>
      <c r="O36" s="557">
        <v>6</v>
      </c>
      <c r="P36" s="557">
        <v>1</v>
      </c>
      <c r="Q36" s="557">
        <v>0</v>
      </c>
      <c r="R36" s="557">
        <v>0</v>
      </c>
      <c r="S36" s="557">
        <v>0</v>
      </c>
      <c r="T36" s="557">
        <v>0</v>
      </c>
      <c r="U36" s="533">
        <f t="shared" si="0"/>
        <v>44</v>
      </c>
    </row>
    <row r="37" spans="1:22" ht="13" hidden="1" outlineLevel="1" x14ac:dyDescent="0.3">
      <c r="A37" s="169"/>
      <c r="D37" s="527">
        <v>6.75</v>
      </c>
      <c r="E37" s="557">
        <v>0</v>
      </c>
      <c r="F37" s="557">
        <v>0</v>
      </c>
      <c r="G37" s="557">
        <v>0</v>
      </c>
      <c r="H37" s="557">
        <v>0</v>
      </c>
      <c r="I37" s="557">
        <v>0</v>
      </c>
      <c r="J37" s="557">
        <v>0</v>
      </c>
      <c r="K37" s="557">
        <v>0</v>
      </c>
      <c r="L37" s="557">
        <v>0</v>
      </c>
      <c r="M37" s="557">
        <v>2</v>
      </c>
      <c r="N37" s="557">
        <v>4</v>
      </c>
      <c r="O37" s="557">
        <v>1</v>
      </c>
      <c r="P37" s="557">
        <v>1</v>
      </c>
      <c r="Q37" s="557">
        <v>0</v>
      </c>
      <c r="R37" s="557">
        <v>0</v>
      </c>
      <c r="S37" s="557">
        <v>0</v>
      </c>
      <c r="T37" s="557">
        <v>0</v>
      </c>
      <c r="U37" s="533">
        <f t="shared" si="0"/>
        <v>8</v>
      </c>
    </row>
    <row r="38" spans="1:22" ht="13" hidden="1" outlineLevel="1" x14ac:dyDescent="0.3">
      <c r="A38" s="169"/>
      <c r="D38" s="527">
        <v>7.25</v>
      </c>
      <c r="E38" s="557">
        <v>0</v>
      </c>
      <c r="F38" s="557">
        <v>0</v>
      </c>
      <c r="G38" s="557">
        <v>0</v>
      </c>
      <c r="H38" s="557">
        <v>0</v>
      </c>
      <c r="I38" s="557">
        <v>0</v>
      </c>
      <c r="J38" s="557">
        <v>0</v>
      </c>
      <c r="K38" s="557">
        <v>0</v>
      </c>
      <c r="L38" s="557">
        <v>1</v>
      </c>
      <c r="M38" s="557">
        <v>1</v>
      </c>
      <c r="N38" s="557">
        <v>2</v>
      </c>
      <c r="O38" s="557">
        <v>1</v>
      </c>
      <c r="P38" s="557">
        <v>1</v>
      </c>
      <c r="Q38" s="557">
        <v>0</v>
      </c>
      <c r="R38" s="557">
        <v>0</v>
      </c>
      <c r="S38" s="557">
        <v>0</v>
      </c>
      <c r="T38" s="557">
        <v>0</v>
      </c>
      <c r="U38" s="533">
        <f t="shared" si="0"/>
        <v>6</v>
      </c>
    </row>
    <row r="39" spans="1:22" ht="13" hidden="1" outlineLevel="1" x14ac:dyDescent="0.3">
      <c r="A39" s="169"/>
      <c r="D39" s="527">
        <v>7.75</v>
      </c>
      <c r="E39" s="557">
        <v>0</v>
      </c>
      <c r="F39" s="557">
        <v>0</v>
      </c>
      <c r="G39" s="557">
        <v>0</v>
      </c>
      <c r="H39" s="557">
        <v>0</v>
      </c>
      <c r="I39" s="557">
        <v>0</v>
      </c>
      <c r="J39" s="557">
        <v>0</v>
      </c>
      <c r="K39" s="557">
        <v>0</v>
      </c>
      <c r="L39" s="557">
        <v>0</v>
      </c>
      <c r="M39" s="557">
        <v>0</v>
      </c>
      <c r="N39" s="557">
        <v>2</v>
      </c>
      <c r="O39" s="557">
        <v>1</v>
      </c>
      <c r="P39" s="557">
        <v>0</v>
      </c>
      <c r="Q39" s="557">
        <v>0</v>
      </c>
      <c r="R39" s="557">
        <v>0</v>
      </c>
      <c r="S39" s="557">
        <v>0</v>
      </c>
      <c r="T39" s="557">
        <v>0</v>
      </c>
      <c r="U39" s="533">
        <f t="shared" si="0"/>
        <v>3</v>
      </c>
    </row>
    <row r="40" spans="1:22" ht="13" hidden="1" outlineLevel="1" x14ac:dyDescent="0.3">
      <c r="A40" s="169"/>
      <c r="D40" s="527">
        <v>8.25</v>
      </c>
      <c r="E40" s="557">
        <v>0</v>
      </c>
      <c r="F40" s="557">
        <v>0</v>
      </c>
      <c r="G40" s="557">
        <v>0</v>
      </c>
      <c r="H40" s="557">
        <v>0</v>
      </c>
      <c r="I40" s="557">
        <v>0</v>
      </c>
      <c r="J40" s="557">
        <v>0</v>
      </c>
      <c r="K40" s="557">
        <v>0</v>
      </c>
      <c r="L40" s="557">
        <v>0</v>
      </c>
      <c r="M40" s="557">
        <v>0</v>
      </c>
      <c r="N40" s="557">
        <v>0</v>
      </c>
      <c r="O40" s="557">
        <v>1</v>
      </c>
      <c r="P40" s="557">
        <v>0</v>
      </c>
      <c r="Q40" s="557">
        <v>0</v>
      </c>
      <c r="R40" s="557">
        <v>0</v>
      </c>
      <c r="S40" s="557">
        <v>0</v>
      </c>
      <c r="T40" s="557">
        <v>0</v>
      </c>
      <c r="U40" s="533">
        <f t="shared" si="0"/>
        <v>1</v>
      </c>
    </row>
    <row r="41" spans="1:22" ht="13" hidden="1" outlineLevel="1" x14ac:dyDescent="0.3">
      <c r="A41" s="169"/>
      <c r="D41" s="527">
        <v>8.75</v>
      </c>
      <c r="E41" s="557">
        <v>0</v>
      </c>
      <c r="F41" s="557">
        <v>0</v>
      </c>
      <c r="G41" s="557">
        <v>0</v>
      </c>
      <c r="H41" s="557">
        <v>0</v>
      </c>
      <c r="I41" s="557">
        <v>0</v>
      </c>
      <c r="J41" s="557">
        <v>0</v>
      </c>
      <c r="K41" s="557">
        <v>0</v>
      </c>
      <c r="L41" s="557">
        <v>0</v>
      </c>
      <c r="M41" s="557">
        <v>0</v>
      </c>
      <c r="N41" s="557">
        <v>0</v>
      </c>
      <c r="O41" s="557">
        <v>2</v>
      </c>
      <c r="P41" s="557">
        <v>0</v>
      </c>
      <c r="Q41" s="557">
        <v>0</v>
      </c>
      <c r="R41" s="557">
        <v>0</v>
      </c>
      <c r="S41" s="557">
        <v>0</v>
      </c>
      <c r="T41" s="557">
        <v>0</v>
      </c>
      <c r="U41" s="533">
        <f t="shared" si="0"/>
        <v>2</v>
      </c>
    </row>
    <row r="42" spans="1:22" ht="13" hidden="1" outlineLevel="1" x14ac:dyDescent="0.3">
      <c r="A42" s="169"/>
      <c r="D42" s="527">
        <v>9.25</v>
      </c>
      <c r="E42" s="557">
        <v>0</v>
      </c>
      <c r="F42" s="557">
        <v>0</v>
      </c>
      <c r="G42" s="557">
        <v>0</v>
      </c>
      <c r="H42" s="557">
        <v>0</v>
      </c>
      <c r="I42" s="557">
        <v>0</v>
      </c>
      <c r="J42" s="557">
        <v>0</v>
      </c>
      <c r="K42" s="557">
        <v>0</v>
      </c>
      <c r="L42" s="557">
        <v>0</v>
      </c>
      <c r="M42" s="557">
        <v>0</v>
      </c>
      <c r="N42" s="557">
        <v>0</v>
      </c>
      <c r="O42" s="557">
        <v>0</v>
      </c>
      <c r="P42" s="557">
        <v>0</v>
      </c>
      <c r="Q42" s="557">
        <v>0</v>
      </c>
      <c r="R42" s="557">
        <v>0</v>
      </c>
      <c r="S42" s="557">
        <v>0</v>
      </c>
      <c r="T42" s="557">
        <v>0</v>
      </c>
      <c r="U42" s="533">
        <f t="shared" si="0"/>
        <v>0</v>
      </c>
    </row>
    <row r="43" spans="1:22" ht="13" hidden="1" outlineLevel="1" x14ac:dyDescent="0.3">
      <c r="A43" s="169"/>
      <c r="D43" s="527">
        <v>9.75</v>
      </c>
      <c r="E43" s="557">
        <v>0</v>
      </c>
      <c r="F43" s="557">
        <v>0</v>
      </c>
      <c r="G43" s="557">
        <v>0</v>
      </c>
      <c r="H43" s="557">
        <v>0</v>
      </c>
      <c r="I43" s="557">
        <v>0</v>
      </c>
      <c r="J43" s="557">
        <v>0</v>
      </c>
      <c r="K43" s="557">
        <v>0</v>
      </c>
      <c r="L43" s="557">
        <v>0</v>
      </c>
      <c r="M43" s="557">
        <v>0</v>
      </c>
      <c r="N43" s="557">
        <v>0</v>
      </c>
      <c r="O43" s="557">
        <v>0</v>
      </c>
      <c r="P43" s="557">
        <v>0</v>
      </c>
      <c r="Q43" s="557">
        <v>0</v>
      </c>
      <c r="R43" s="557">
        <v>0</v>
      </c>
      <c r="S43" s="557">
        <v>0</v>
      </c>
      <c r="T43" s="557">
        <v>0</v>
      </c>
      <c r="U43" s="533">
        <f t="shared" si="0"/>
        <v>0</v>
      </c>
    </row>
    <row r="44" spans="1:22" s="529" customFormat="1" ht="13" hidden="1" outlineLevel="1" x14ac:dyDescent="0.3">
      <c r="D44" s="527"/>
      <c r="E44" s="534">
        <f>SUM(E24:E43)</f>
        <v>2</v>
      </c>
      <c r="F44" s="534">
        <f t="shared" ref="F44:T44" si="1">SUM(F24:F43)</f>
        <v>279</v>
      </c>
      <c r="G44" s="534">
        <f t="shared" si="1"/>
        <v>1612</v>
      </c>
      <c r="H44" s="534">
        <f t="shared" si="1"/>
        <v>2069</v>
      </c>
      <c r="I44" s="534">
        <f t="shared" si="1"/>
        <v>1936</v>
      </c>
      <c r="J44" s="534">
        <f t="shared" si="1"/>
        <v>2182</v>
      </c>
      <c r="K44" s="534">
        <f t="shared" si="1"/>
        <v>1998</v>
      </c>
      <c r="L44" s="534">
        <f t="shared" si="1"/>
        <v>1244</v>
      </c>
      <c r="M44" s="534">
        <f t="shared" si="1"/>
        <v>725</v>
      </c>
      <c r="N44" s="534">
        <f t="shared" si="1"/>
        <v>315</v>
      </c>
      <c r="O44" s="534">
        <f t="shared" si="1"/>
        <v>124</v>
      </c>
      <c r="P44" s="534">
        <f t="shared" si="1"/>
        <v>49</v>
      </c>
      <c r="Q44" s="534">
        <f t="shared" si="1"/>
        <v>10</v>
      </c>
      <c r="R44" s="534">
        <f t="shared" si="1"/>
        <v>2</v>
      </c>
      <c r="S44" s="534">
        <f t="shared" si="1"/>
        <v>0</v>
      </c>
      <c r="T44" s="534">
        <f t="shared" si="1"/>
        <v>0</v>
      </c>
    </row>
    <row r="45" spans="1:22" s="540" customFormat="1" ht="13" hidden="1" outlineLevel="1" x14ac:dyDescent="0.3">
      <c r="D45" s="527"/>
      <c r="E45" s="554"/>
      <c r="F45" s="554"/>
      <c r="G45" s="554"/>
      <c r="H45" s="554"/>
      <c r="I45" s="554"/>
      <c r="J45" s="554"/>
      <c r="K45" s="554"/>
      <c r="L45" s="554"/>
      <c r="M45" s="554"/>
      <c r="N45" s="554"/>
      <c r="O45" s="554"/>
      <c r="P45" s="554"/>
      <c r="Q45" s="554"/>
      <c r="R45" s="554"/>
      <c r="S45" s="554"/>
      <c r="T45" s="554"/>
    </row>
    <row r="46" spans="1:22" s="540" customFormat="1" ht="13" hidden="1" outlineLevel="1" x14ac:dyDescent="0.3">
      <c r="A46" s="543" t="s">
        <v>265</v>
      </c>
    </row>
    <row r="47" spans="1:22" s="540" customFormat="1" ht="13" hidden="1" outlineLevel="1" x14ac:dyDescent="0.3">
      <c r="A47" s="543"/>
      <c r="E47" s="540" t="s">
        <v>264</v>
      </c>
    </row>
    <row r="48" spans="1:22" s="540" customFormat="1" ht="13" hidden="1" outlineLevel="1" x14ac:dyDescent="0.3">
      <c r="D48" s="555"/>
      <c r="E48" s="556">
        <v>4.5</v>
      </c>
      <c r="F48" s="556">
        <v>5.5</v>
      </c>
      <c r="G48" s="556">
        <v>6.5</v>
      </c>
      <c r="H48" s="556">
        <v>7.5</v>
      </c>
      <c r="I48" s="556">
        <v>8.5</v>
      </c>
      <c r="J48" s="556">
        <v>9.5</v>
      </c>
      <c r="K48" s="556">
        <v>10.5</v>
      </c>
      <c r="L48" s="556">
        <v>11.5</v>
      </c>
      <c r="M48" s="556">
        <v>12.5</v>
      </c>
      <c r="N48" s="556">
        <v>13.5</v>
      </c>
      <c r="O48" s="556">
        <v>14.5</v>
      </c>
      <c r="P48" s="556">
        <v>15.5</v>
      </c>
      <c r="Q48" s="556">
        <v>16.5</v>
      </c>
      <c r="R48" s="556">
        <v>17.5</v>
      </c>
      <c r="S48" s="556">
        <v>18.5</v>
      </c>
      <c r="T48" s="556">
        <v>19.5</v>
      </c>
    </row>
    <row r="49" spans="3:21" s="540" customFormat="1" ht="13" hidden="1" outlineLevel="1" x14ac:dyDescent="0.3">
      <c r="C49" s="540" t="s">
        <v>263</v>
      </c>
      <c r="D49" s="527">
        <v>0.25</v>
      </c>
      <c r="E49" s="523">
        <f>IF(E24&gt;0,0.49*E$23*$D24^2,0)</f>
        <v>0</v>
      </c>
      <c r="F49" s="523">
        <f t="shared" ref="F49:T49" si="2">IF(F24&gt;0,0.49*F$23*$D24^2,0)</f>
        <v>0</v>
      </c>
      <c r="G49" s="523">
        <f t="shared" si="2"/>
        <v>0</v>
      </c>
      <c r="H49" s="523">
        <f t="shared" si="2"/>
        <v>0</v>
      </c>
      <c r="I49" s="523">
        <f t="shared" si="2"/>
        <v>0</v>
      </c>
      <c r="J49" s="523">
        <f t="shared" si="2"/>
        <v>0</v>
      </c>
      <c r="K49" s="523">
        <f t="shared" si="2"/>
        <v>0</v>
      </c>
      <c r="L49" s="523">
        <f t="shared" si="2"/>
        <v>0</v>
      </c>
      <c r="M49" s="523">
        <f t="shared" si="2"/>
        <v>0</v>
      </c>
      <c r="N49" s="523">
        <f t="shared" si="2"/>
        <v>0</v>
      </c>
      <c r="O49" s="523">
        <f t="shared" si="2"/>
        <v>0</v>
      </c>
      <c r="P49" s="523">
        <f t="shared" si="2"/>
        <v>0</v>
      </c>
      <c r="Q49" s="523">
        <f t="shared" si="2"/>
        <v>0</v>
      </c>
      <c r="R49" s="523">
        <f t="shared" si="2"/>
        <v>0</v>
      </c>
      <c r="S49" s="523">
        <f t="shared" si="2"/>
        <v>0</v>
      </c>
      <c r="T49" s="523">
        <f t="shared" si="2"/>
        <v>0</v>
      </c>
      <c r="U49" s="509">
        <f>SUM(E49:T49)</f>
        <v>0</v>
      </c>
    </row>
    <row r="50" spans="3:21" s="540" customFormat="1" ht="13" hidden="1" outlineLevel="1" x14ac:dyDescent="0.3">
      <c r="D50" s="527">
        <v>0.75</v>
      </c>
      <c r="E50" s="523">
        <f t="shared" ref="E50:T68" si="3">IF(E25&gt;0,0.49*E$23*$D25^2,0)</f>
        <v>0</v>
      </c>
      <c r="F50" s="523">
        <f t="shared" si="3"/>
        <v>1.5159374999999999</v>
      </c>
      <c r="G50" s="523">
        <f t="shared" si="3"/>
        <v>1.7915624999999999</v>
      </c>
      <c r="H50" s="523">
        <f t="shared" si="3"/>
        <v>2.0671874999999997</v>
      </c>
      <c r="I50" s="523">
        <f t="shared" si="3"/>
        <v>2.3428125</v>
      </c>
      <c r="J50" s="523">
        <f t="shared" si="3"/>
        <v>2.6184375000000002</v>
      </c>
      <c r="K50" s="523">
        <f t="shared" si="3"/>
        <v>2.8940624999999995</v>
      </c>
      <c r="L50" s="523">
        <f t="shared" si="3"/>
        <v>3.1696874999999998</v>
      </c>
      <c r="M50" s="523">
        <f t="shared" si="3"/>
        <v>0</v>
      </c>
      <c r="N50" s="523">
        <f t="shared" si="3"/>
        <v>3.7209375000000002</v>
      </c>
      <c r="O50" s="523">
        <f t="shared" si="3"/>
        <v>0</v>
      </c>
      <c r="P50" s="523">
        <f t="shared" si="3"/>
        <v>4.2721875000000002</v>
      </c>
      <c r="Q50" s="523">
        <f t="shared" si="3"/>
        <v>0</v>
      </c>
      <c r="R50" s="523">
        <f t="shared" si="3"/>
        <v>0</v>
      </c>
      <c r="S50" s="523">
        <f t="shared" si="3"/>
        <v>0</v>
      </c>
      <c r="T50" s="523">
        <f t="shared" si="3"/>
        <v>0</v>
      </c>
      <c r="U50" s="509">
        <f t="shared" ref="U50:U68" si="4">SUM(E50:T50)</f>
        <v>24.392812500000002</v>
      </c>
    </row>
    <row r="51" spans="3:21" s="540" customFormat="1" ht="13" hidden="1" outlineLevel="1" x14ac:dyDescent="0.3">
      <c r="D51" s="527">
        <v>1.25</v>
      </c>
      <c r="E51" s="523">
        <f t="shared" si="3"/>
        <v>3.4453125</v>
      </c>
      <c r="F51" s="523">
        <f t="shared" si="3"/>
        <v>4.2109375</v>
      </c>
      <c r="G51" s="523">
        <f t="shared" si="3"/>
        <v>4.9765625</v>
      </c>
      <c r="H51" s="523">
        <f t="shared" si="3"/>
        <v>5.7421875</v>
      </c>
      <c r="I51" s="523">
        <f t="shared" si="3"/>
        <v>6.5078125</v>
      </c>
      <c r="J51" s="523">
        <f t="shared" si="3"/>
        <v>7.2734375</v>
      </c>
      <c r="K51" s="523">
        <f t="shared" si="3"/>
        <v>8.0390625</v>
      </c>
      <c r="L51" s="523">
        <f t="shared" si="3"/>
        <v>8.8046875</v>
      </c>
      <c r="M51" s="523">
        <f t="shared" si="3"/>
        <v>9.5703125</v>
      </c>
      <c r="N51" s="523">
        <f t="shared" si="3"/>
        <v>0</v>
      </c>
      <c r="O51" s="523">
        <f t="shared" si="3"/>
        <v>0</v>
      </c>
      <c r="P51" s="523">
        <f t="shared" si="3"/>
        <v>0</v>
      </c>
      <c r="Q51" s="523">
        <f t="shared" si="3"/>
        <v>12.632812499999998</v>
      </c>
      <c r="R51" s="523">
        <f t="shared" si="3"/>
        <v>13.398437499999998</v>
      </c>
      <c r="S51" s="523">
        <f t="shared" si="3"/>
        <v>0</v>
      </c>
      <c r="T51" s="523">
        <f t="shared" si="3"/>
        <v>0</v>
      </c>
      <c r="U51" s="509">
        <f t="shared" si="4"/>
        <v>84.6015625</v>
      </c>
    </row>
    <row r="52" spans="3:21" s="540" customFormat="1" ht="13" hidden="1" outlineLevel="1" x14ac:dyDescent="0.3">
      <c r="D52" s="527">
        <v>1.75</v>
      </c>
      <c r="E52" s="523">
        <f t="shared" si="3"/>
        <v>0</v>
      </c>
      <c r="F52" s="523">
        <f t="shared" si="3"/>
        <v>8.2534374999999986</v>
      </c>
      <c r="G52" s="523">
        <f t="shared" si="3"/>
        <v>9.7540624999999999</v>
      </c>
      <c r="H52" s="523">
        <f t="shared" si="3"/>
        <v>11.254687499999999</v>
      </c>
      <c r="I52" s="523">
        <f t="shared" si="3"/>
        <v>12.7553125</v>
      </c>
      <c r="J52" s="523">
        <f t="shared" si="3"/>
        <v>14.2559375</v>
      </c>
      <c r="K52" s="523">
        <f t="shared" si="3"/>
        <v>15.756562499999999</v>
      </c>
      <c r="L52" s="523">
        <f t="shared" si="3"/>
        <v>17.257187500000001</v>
      </c>
      <c r="M52" s="523">
        <f t="shared" si="3"/>
        <v>18.7578125</v>
      </c>
      <c r="N52" s="523">
        <f t="shared" si="3"/>
        <v>20.258437499999999</v>
      </c>
      <c r="O52" s="523">
        <f t="shared" si="3"/>
        <v>0</v>
      </c>
      <c r="P52" s="523">
        <f t="shared" si="3"/>
        <v>0</v>
      </c>
      <c r="Q52" s="523">
        <f t="shared" si="3"/>
        <v>0</v>
      </c>
      <c r="R52" s="523">
        <f t="shared" si="3"/>
        <v>26.260937499999997</v>
      </c>
      <c r="S52" s="523">
        <f t="shared" si="3"/>
        <v>0</v>
      </c>
      <c r="T52" s="523">
        <f t="shared" si="3"/>
        <v>0</v>
      </c>
      <c r="U52" s="509">
        <f t="shared" si="4"/>
        <v>154.56437499999998</v>
      </c>
    </row>
    <row r="53" spans="3:21" s="540" customFormat="1" ht="13" hidden="1" outlineLevel="1" x14ac:dyDescent="0.3">
      <c r="D53" s="527">
        <v>2.25</v>
      </c>
      <c r="E53" s="523">
        <f t="shared" si="3"/>
        <v>0</v>
      </c>
      <c r="F53" s="523">
        <f t="shared" si="3"/>
        <v>13.643437499999999</v>
      </c>
      <c r="G53" s="523">
        <f t="shared" si="3"/>
        <v>16.124062500000001</v>
      </c>
      <c r="H53" s="523">
        <f t="shared" si="3"/>
        <v>18.604687500000001</v>
      </c>
      <c r="I53" s="523">
        <f t="shared" si="3"/>
        <v>21.085312500000001</v>
      </c>
      <c r="J53" s="523">
        <f t="shared" si="3"/>
        <v>23.5659375</v>
      </c>
      <c r="K53" s="523">
        <f t="shared" si="3"/>
        <v>26.046562499999997</v>
      </c>
      <c r="L53" s="523">
        <f t="shared" si="3"/>
        <v>28.5271875</v>
      </c>
      <c r="M53" s="523">
        <f t="shared" si="3"/>
        <v>31.0078125</v>
      </c>
      <c r="N53" s="523">
        <f t="shared" si="3"/>
        <v>33.488437500000003</v>
      </c>
      <c r="O53" s="523">
        <f t="shared" si="3"/>
        <v>35.9690625</v>
      </c>
      <c r="P53" s="523">
        <f t="shared" si="3"/>
        <v>38.449687499999996</v>
      </c>
      <c r="Q53" s="523">
        <f t="shared" si="3"/>
        <v>40.930312499999992</v>
      </c>
      <c r="R53" s="523">
        <f t="shared" si="3"/>
        <v>0</v>
      </c>
      <c r="S53" s="523">
        <f t="shared" si="3"/>
        <v>0</v>
      </c>
      <c r="T53" s="523">
        <f t="shared" si="3"/>
        <v>0</v>
      </c>
      <c r="U53" s="509">
        <f t="shared" si="4"/>
        <v>327.4425</v>
      </c>
    </row>
    <row r="54" spans="3:21" s="540" customFormat="1" ht="13" hidden="1" outlineLevel="1" x14ac:dyDescent="0.3">
      <c r="D54" s="527">
        <v>2.75</v>
      </c>
      <c r="E54" s="523">
        <f t="shared" si="3"/>
        <v>0</v>
      </c>
      <c r="F54" s="523">
        <f t="shared" si="3"/>
        <v>20.380937499999998</v>
      </c>
      <c r="G54" s="523">
        <f t="shared" si="3"/>
        <v>24.086562499999999</v>
      </c>
      <c r="H54" s="523">
        <f t="shared" si="3"/>
        <v>27.792187499999997</v>
      </c>
      <c r="I54" s="523">
        <f t="shared" si="3"/>
        <v>31.497812500000002</v>
      </c>
      <c r="J54" s="523">
        <f t="shared" si="3"/>
        <v>35.2034375</v>
      </c>
      <c r="K54" s="523">
        <f t="shared" si="3"/>
        <v>38.909062499999997</v>
      </c>
      <c r="L54" s="523">
        <f t="shared" si="3"/>
        <v>42.614687499999995</v>
      </c>
      <c r="M54" s="523">
        <f t="shared" si="3"/>
        <v>46.3203125</v>
      </c>
      <c r="N54" s="523">
        <f t="shared" si="3"/>
        <v>50.025937500000005</v>
      </c>
      <c r="O54" s="523">
        <f t="shared" si="3"/>
        <v>53.731562499999995</v>
      </c>
      <c r="P54" s="523">
        <f t="shared" si="3"/>
        <v>57.4371875</v>
      </c>
      <c r="Q54" s="523">
        <f t="shared" si="3"/>
        <v>0</v>
      </c>
      <c r="R54" s="523">
        <f t="shared" si="3"/>
        <v>0</v>
      </c>
      <c r="S54" s="523">
        <f t="shared" si="3"/>
        <v>0</v>
      </c>
      <c r="T54" s="523">
        <f t="shared" si="3"/>
        <v>0</v>
      </c>
      <c r="U54" s="509">
        <f t="shared" si="4"/>
        <v>427.99968749999999</v>
      </c>
    </row>
    <row r="55" spans="3:21" s="540" customFormat="1" ht="13" hidden="1" outlineLevel="1" x14ac:dyDescent="0.3">
      <c r="D55" s="527">
        <v>3.25</v>
      </c>
      <c r="E55" s="523">
        <f t="shared" si="3"/>
        <v>0</v>
      </c>
      <c r="F55" s="523">
        <f t="shared" si="3"/>
        <v>0</v>
      </c>
      <c r="G55" s="523">
        <f t="shared" si="3"/>
        <v>33.641562499999999</v>
      </c>
      <c r="H55" s="523">
        <f t="shared" si="3"/>
        <v>38.817187499999996</v>
      </c>
      <c r="I55" s="523">
        <f t="shared" si="3"/>
        <v>43.992812499999999</v>
      </c>
      <c r="J55" s="523">
        <f t="shared" si="3"/>
        <v>49.168437500000003</v>
      </c>
      <c r="K55" s="523">
        <f t="shared" si="3"/>
        <v>54.344062499999993</v>
      </c>
      <c r="L55" s="523">
        <f t="shared" si="3"/>
        <v>59.519687499999996</v>
      </c>
      <c r="M55" s="523">
        <f t="shared" si="3"/>
        <v>64.6953125</v>
      </c>
      <c r="N55" s="523">
        <f t="shared" si="3"/>
        <v>69.870937499999997</v>
      </c>
      <c r="O55" s="523">
        <f t="shared" si="3"/>
        <v>75.046562499999993</v>
      </c>
      <c r="P55" s="523">
        <f t="shared" si="3"/>
        <v>80.222187500000004</v>
      </c>
      <c r="Q55" s="523">
        <f t="shared" si="3"/>
        <v>0</v>
      </c>
      <c r="R55" s="523">
        <f t="shared" si="3"/>
        <v>0</v>
      </c>
      <c r="S55" s="523">
        <f t="shared" si="3"/>
        <v>0</v>
      </c>
      <c r="T55" s="523">
        <f t="shared" si="3"/>
        <v>0</v>
      </c>
      <c r="U55" s="509">
        <f t="shared" si="4"/>
        <v>569.31874999999991</v>
      </c>
    </row>
    <row r="56" spans="3:21" s="540" customFormat="1" ht="13" hidden="1" outlineLevel="1" x14ac:dyDescent="0.3">
      <c r="D56" s="527">
        <v>3.75</v>
      </c>
      <c r="E56" s="523">
        <f t="shared" si="3"/>
        <v>0</v>
      </c>
      <c r="F56" s="523">
        <f t="shared" si="3"/>
        <v>0</v>
      </c>
      <c r="G56" s="523">
        <f t="shared" si="3"/>
        <v>44.7890625</v>
      </c>
      <c r="H56" s="523">
        <f t="shared" si="3"/>
        <v>51.6796875</v>
      </c>
      <c r="I56" s="523">
        <f t="shared" si="3"/>
        <v>58.5703125</v>
      </c>
      <c r="J56" s="523">
        <f t="shared" si="3"/>
        <v>65.4609375</v>
      </c>
      <c r="K56" s="523">
        <f t="shared" si="3"/>
        <v>72.3515625</v>
      </c>
      <c r="L56" s="523">
        <f t="shared" si="3"/>
        <v>79.2421875</v>
      </c>
      <c r="M56" s="523">
        <f t="shared" si="3"/>
        <v>86.1328125</v>
      </c>
      <c r="N56" s="523">
        <f t="shared" si="3"/>
        <v>93.0234375</v>
      </c>
      <c r="O56" s="523">
        <f t="shared" si="3"/>
        <v>99.9140625</v>
      </c>
      <c r="P56" s="523">
        <f t="shared" si="3"/>
        <v>106.8046875</v>
      </c>
      <c r="Q56" s="523">
        <f t="shared" si="3"/>
        <v>0</v>
      </c>
      <c r="R56" s="523">
        <f t="shared" si="3"/>
        <v>0</v>
      </c>
      <c r="S56" s="523">
        <f t="shared" si="3"/>
        <v>0</v>
      </c>
      <c r="T56" s="523">
        <f t="shared" si="3"/>
        <v>0</v>
      </c>
      <c r="U56" s="509">
        <f t="shared" si="4"/>
        <v>757.96875</v>
      </c>
    </row>
    <row r="57" spans="3:21" s="540" customFormat="1" ht="13" hidden="1" outlineLevel="1" x14ac:dyDescent="0.3">
      <c r="D57" s="527">
        <v>4.25</v>
      </c>
      <c r="E57" s="523">
        <f t="shared" si="3"/>
        <v>0</v>
      </c>
      <c r="F57" s="523">
        <f t="shared" si="3"/>
        <v>0</v>
      </c>
      <c r="G57" s="523">
        <f t="shared" si="3"/>
        <v>0</v>
      </c>
      <c r="H57" s="523">
        <f t="shared" si="3"/>
        <v>66.379687500000003</v>
      </c>
      <c r="I57" s="523">
        <f t="shared" si="3"/>
        <v>75.230312499999997</v>
      </c>
      <c r="J57" s="523">
        <f t="shared" si="3"/>
        <v>84.080937500000005</v>
      </c>
      <c r="K57" s="523">
        <f t="shared" si="3"/>
        <v>92.931562499999998</v>
      </c>
      <c r="L57" s="523">
        <f t="shared" si="3"/>
        <v>101.78218749999999</v>
      </c>
      <c r="M57" s="523">
        <f t="shared" si="3"/>
        <v>110.6328125</v>
      </c>
      <c r="N57" s="523">
        <f t="shared" si="3"/>
        <v>119.48343750000001</v>
      </c>
      <c r="O57" s="523">
        <f t="shared" si="3"/>
        <v>128.33406249999999</v>
      </c>
      <c r="P57" s="523">
        <f t="shared" si="3"/>
        <v>137.1846875</v>
      </c>
      <c r="Q57" s="523">
        <f t="shared" si="3"/>
        <v>146.03531249999997</v>
      </c>
      <c r="R57" s="523">
        <f t="shared" si="3"/>
        <v>0</v>
      </c>
      <c r="S57" s="523">
        <f t="shared" si="3"/>
        <v>0</v>
      </c>
      <c r="T57" s="523">
        <f t="shared" si="3"/>
        <v>0</v>
      </c>
      <c r="U57" s="509">
        <f t="shared" si="4"/>
        <v>1062.075</v>
      </c>
    </row>
    <row r="58" spans="3:21" s="540" customFormat="1" ht="13" hidden="1" outlineLevel="1" x14ac:dyDescent="0.3">
      <c r="D58" s="527">
        <v>4.75</v>
      </c>
      <c r="E58" s="523">
        <f t="shared" si="3"/>
        <v>0</v>
      </c>
      <c r="F58" s="523">
        <f t="shared" si="3"/>
        <v>0</v>
      </c>
      <c r="G58" s="523">
        <f t="shared" si="3"/>
        <v>0</v>
      </c>
      <c r="H58" s="523">
        <f t="shared" si="3"/>
        <v>0</v>
      </c>
      <c r="I58" s="523">
        <f t="shared" si="3"/>
        <v>93.972812500000003</v>
      </c>
      <c r="J58" s="523">
        <f t="shared" si="3"/>
        <v>105.02843750000001</v>
      </c>
      <c r="K58" s="523">
        <f t="shared" si="3"/>
        <v>116.08406249999999</v>
      </c>
      <c r="L58" s="523">
        <f t="shared" si="3"/>
        <v>127.13968749999999</v>
      </c>
      <c r="M58" s="523">
        <f t="shared" si="3"/>
        <v>138.1953125</v>
      </c>
      <c r="N58" s="523">
        <f t="shared" si="3"/>
        <v>149.25093749999999</v>
      </c>
      <c r="O58" s="523">
        <f t="shared" si="3"/>
        <v>160.30656249999998</v>
      </c>
      <c r="P58" s="523">
        <f t="shared" si="3"/>
        <v>171.3621875</v>
      </c>
      <c r="Q58" s="523">
        <f t="shared" si="3"/>
        <v>182.41781249999997</v>
      </c>
      <c r="R58" s="523">
        <f t="shared" si="3"/>
        <v>0</v>
      </c>
      <c r="S58" s="523">
        <f t="shared" si="3"/>
        <v>0</v>
      </c>
      <c r="T58" s="523">
        <f t="shared" si="3"/>
        <v>0</v>
      </c>
      <c r="U58" s="509">
        <f t="shared" si="4"/>
        <v>1243.7578124999995</v>
      </c>
    </row>
    <row r="59" spans="3:21" s="540" customFormat="1" ht="13" hidden="1" outlineLevel="1" x14ac:dyDescent="0.3">
      <c r="D59" s="527">
        <v>5.25</v>
      </c>
      <c r="E59" s="523">
        <f t="shared" si="3"/>
        <v>0</v>
      </c>
      <c r="F59" s="523">
        <f t="shared" si="3"/>
        <v>0</v>
      </c>
      <c r="G59" s="523">
        <f t="shared" si="3"/>
        <v>0</v>
      </c>
      <c r="H59" s="523">
        <f t="shared" si="3"/>
        <v>0</v>
      </c>
      <c r="I59" s="523">
        <f t="shared" si="3"/>
        <v>0</v>
      </c>
      <c r="J59" s="523">
        <f t="shared" si="3"/>
        <v>128.3034375</v>
      </c>
      <c r="K59" s="523">
        <f t="shared" si="3"/>
        <v>141.80906249999998</v>
      </c>
      <c r="L59" s="523">
        <f t="shared" si="3"/>
        <v>155.31468749999999</v>
      </c>
      <c r="M59" s="523">
        <f t="shared" si="3"/>
        <v>168.8203125</v>
      </c>
      <c r="N59" s="523">
        <f t="shared" si="3"/>
        <v>182.32593750000001</v>
      </c>
      <c r="O59" s="523">
        <f t="shared" si="3"/>
        <v>195.83156249999999</v>
      </c>
      <c r="P59" s="523">
        <f t="shared" si="3"/>
        <v>209.3371875</v>
      </c>
      <c r="Q59" s="523">
        <f t="shared" si="3"/>
        <v>222.84281249999998</v>
      </c>
      <c r="R59" s="523">
        <f t="shared" si="3"/>
        <v>0</v>
      </c>
      <c r="S59" s="523">
        <f t="shared" si="3"/>
        <v>0</v>
      </c>
      <c r="T59" s="523">
        <f t="shared" si="3"/>
        <v>0</v>
      </c>
      <c r="U59" s="509">
        <f t="shared" si="4"/>
        <v>1404.585</v>
      </c>
    </row>
    <row r="60" spans="3:21" s="540" customFormat="1" ht="13" hidden="1" outlineLevel="1" x14ac:dyDescent="0.3">
      <c r="D60" s="527">
        <v>5.75</v>
      </c>
      <c r="E60" s="523">
        <f t="shared" si="3"/>
        <v>0</v>
      </c>
      <c r="F60" s="523">
        <f t="shared" si="3"/>
        <v>0</v>
      </c>
      <c r="G60" s="523">
        <f t="shared" si="3"/>
        <v>0</v>
      </c>
      <c r="H60" s="523">
        <f t="shared" si="3"/>
        <v>0</v>
      </c>
      <c r="I60" s="523">
        <f t="shared" si="3"/>
        <v>0</v>
      </c>
      <c r="J60" s="523">
        <f t="shared" si="3"/>
        <v>153.90593750000002</v>
      </c>
      <c r="K60" s="523">
        <f t="shared" si="3"/>
        <v>170.1065625</v>
      </c>
      <c r="L60" s="523">
        <f t="shared" si="3"/>
        <v>186.3071875</v>
      </c>
      <c r="M60" s="523">
        <f t="shared" si="3"/>
        <v>202.5078125</v>
      </c>
      <c r="N60" s="523">
        <f t="shared" si="3"/>
        <v>218.7084375</v>
      </c>
      <c r="O60" s="523">
        <f t="shared" si="3"/>
        <v>234.90906249999998</v>
      </c>
      <c r="P60" s="523">
        <f t="shared" si="3"/>
        <v>251.10968749999998</v>
      </c>
      <c r="Q60" s="523">
        <f t="shared" si="3"/>
        <v>267.31031249999995</v>
      </c>
      <c r="R60" s="523">
        <f t="shared" si="3"/>
        <v>0</v>
      </c>
      <c r="S60" s="523">
        <f t="shared" si="3"/>
        <v>0</v>
      </c>
      <c r="T60" s="523">
        <f t="shared" si="3"/>
        <v>0</v>
      </c>
      <c r="U60" s="509">
        <f t="shared" si="4"/>
        <v>1684.865</v>
      </c>
    </row>
    <row r="61" spans="3:21" s="540" customFormat="1" ht="13" hidden="1" outlineLevel="1" x14ac:dyDescent="0.3">
      <c r="D61" s="527">
        <v>6.25</v>
      </c>
      <c r="E61" s="523">
        <f t="shared" si="3"/>
        <v>0</v>
      </c>
      <c r="F61" s="523">
        <f t="shared" si="3"/>
        <v>0</v>
      </c>
      <c r="G61" s="523">
        <f t="shared" si="3"/>
        <v>0</v>
      </c>
      <c r="H61" s="523">
        <f t="shared" si="3"/>
        <v>0</v>
      </c>
      <c r="I61" s="523">
        <f t="shared" si="3"/>
        <v>0</v>
      </c>
      <c r="J61" s="523">
        <f t="shared" si="3"/>
        <v>0</v>
      </c>
      <c r="K61" s="523">
        <f t="shared" si="3"/>
        <v>200.97656249999997</v>
      </c>
      <c r="L61" s="523">
        <f t="shared" si="3"/>
        <v>220.1171875</v>
      </c>
      <c r="M61" s="523">
        <f t="shared" si="3"/>
        <v>239.2578125</v>
      </c>
      <c r="N61" s="523">
        <f t="shared" si="3"/>
        <v>258.3984375</v>
      </c>
      <c r="O61" s="523">
        <f t="shared" si="3"/>
        <v>277.5390625</v>
      </c>
      <c r="P61" s="523">
        <f t="shared" si="3"/>
        <v>296.6796875</v>
      </c>
      <c r="Q61" s="523">
        <f t="shared" si="3"/>
        <v>0</v>
      </c>
      <c r="R61" s="523">
        <f t="shared" si="3"/>
        <v>0</v>
      </c>
      <c r="S61" s="523">
        <f t="shared" si="3"/>
        <v>0</v>
      </c>
      <c r="T61" s="523">
        <f t="shared" si="3"/>
        <v>0</v>
      </c>
      <c r="U61" s="509">
        <f t="shared" si="4"/>
        <v>1492.96875</v>
      </c>
    </row>
    <row r="62" spans="3:21" s="540" customFormat="1" ht="13" hidden="1" outlineLevel="1" x14ac:dyDescent="0.3">
      <c r="D62" s="527">
        <v>6.75</v>
      </c>
      <c r="E62" s="523">
        <f t="shared" si="3"/>
        <v>0</v>
      </c>
      <c r="F62" s="523">
        <f t="shared" si="3"/>
        <v>0</v>
      </c>
      <c r="G62" s="523">
        <f t="shared" si="3"/>
        <v>0</v>
      </c>
      <c r="H62" s="523">
        <f t="shared" si="3"/>
        <v>0</v>
      </c>
      <c r="I62" s="523">
        <f t="shared" si="3"/>
        <v>0</v>
      </c>
      <c r="J62" s="523">
        <f t="shared" si="3"/>
        <v>0</v>
      </c>
      <c r="K62" s="523">
        <f t="shared" si="3"/>
        <v>0</v>
      </c>
      <c r="L62" s="523">
        <f t="shared" si="3"/>
        <v>0</v>
      </c>
      <c r="M62" s="523">
        <f t="shared" si="3"/>
        <v>279.0703125</v>
      </c>
      <c r="N62" s="523">
        <f t="shared" si="3"/>
        <v>301.3959375</v>
      </c>
      <c r="O62" s="523">
        <f t="shared" si="3"/>
        <v>323.7215625</v>
      </c>
      <c r="P62" s="523">
        <f t="shared" si="3"/>
        <v>346.04718750000001</v>
      </c>
      <c r="Q62" s="523">
        <f t="shared" si="3"/>
        <v>0</v>
      </c>
      <c r="R62" s="523">
        <f t="shared" si="3"/>
        <v>0</v>
      </c>
      <c r="S62" s="523">
        <f t="shared" si="3"/>
        <v>0</v>
      </c>
      <c r="T62" s="523">
        <f t="shared" si="3"/>
        <v>0</v>
      </c>
      <c r="U62" s="509">
        <f t="shared" si="4"/>
        <v>1250.2349999999999</v>
      </c>
    </row>
    <row r="63" spans="3:21" s="540" customFormat="1" ht="13" hidden="1" outlineLevel="1" x14ac:dyDescent="0.3">
      <c r="D63" s="527">
        <v>7.25</v>
      </c>
      <c r="E63" s="523">
        <f t="shared" si="3"/>
        <v>0</v>
      </c>
      <c r="F63" s="523">
        <f t="shared" si="3"/>
        <v>0</v>
      </c>
      <c r="G63" s="523">
        <f t="shared" si="3"/>
        <v>0</v>
      </c>
      <c r="H63" s="523">
        <f t="shared" si="3"/>
        <v>0</v>
      </c>
      <c r="I63" s="523">
        <f t="shared" si="3"/>
        <v>0</v>
      </c>
      <c r="J63" s="523">
        <f t="shared" si="3"/>
        <v>0</v>
      </c>
      <c r="K63" s="523">
        <f t="shared" si="3"/>
        <v>0</v>
      </c>
      <c r="L63" s="523">
        <f t="shared" si="3"/>
        <v>296.18968749999999</v>
      </c>
      <c r="M63" s="523">
        <f t="shared" si="3"/>
        <v>321.9453125</v>
      </c>
      <c r="N63" s="523">
        <f t="shared" si="3"/>
        <v>347.70093750000001</v>
      </c>
      <c r="O63" s="523">
        <f t="shared" si="3"/>
        <v>373.45656249999996</v>
      </c>
      <c r="P63" s="523">
        <f t="shared" si="3"/>
        <v>399.21218749999997</v>
      </c>
      <c r="Q63" s="523">
        <f t="shared" si="3"/>
        <v>0</v>
      </c>
      <c r="R63" s="523">
        <f t="shared" si="3"/>
        <v>0</v>
      </c>
      <c r="S63" s="523">
        <f t="shared" si="3"/>
        <v>0</v>
      </c>
      <c r="T63" s="523">
        <f t="shared" si="3"/>
        <v>0</v>
      </c>
      <c r="U63" s="509">
        <f t="shared" si="4"/>
        <v>1738.5046875</v>
      </c>
    </row>
    <row r="64" spans="3:21" s="540" customFormat="1" ht="13" hidden="1" outlineLevel="1" x14ac:dyDescent="0.3">
      <c r="D64" s="527">
        <v>7.75</v>
      </c>
      <c r="E64" s="523">
        <f t="shared" si="3"/>
        <v>0</v>
      </c>
      <c r="F64" s="523">
        <f t="shared" si="3"/>
        <v>0</v>
      </c>
      <c r="G64" s="523">
        <f t="shared" si="3"/>
        <v>0</v>
      </c>
      <c r="H64" s="523">
        <f t="shared" si="3"/>
        <v>0</v>
      </c>
      <c r="I64" s="523">
        <f t="shared" si="3"/>
        <v>0</v>
      </c>
      <c r="J64" s="523">
        <f t="shared" si="3"/>
        <v>0</v>
      </c>
      <c r="K64" s="523">
        <f t="shared" si="3"/>
        <v>0</v>
      </c>
      <c r="L64" s="523">
        <f t="shared" si="3"/>
        <v>0</v>
      </c>
      <c r="M64" s="523">
        <f t="shared" si="3"/>
        <v>0</v>
      </c>
      <c r="N64" s="523">
        <f t="shared" si="3"/>
        <v>397.31343750000002</v>
      </c>
      <c r="O64" s="523">
        <f t="shared" si="3"/>
        <v>426.74406249999998</v>
      </c>
      <c r="P64" s="523">
        <f t="shared" si="3"/>
        <v>0</v>
      </c>
      <c r="Q64" s="523">
        <f t="shared" si="3"/>
        <v>0</v>
      </c>
      <c r="R64" s="523">
        <f t="shared" si="3"/>
        <v>0</v>
      </c>
      <c r="S64" s="523">
        <f t="shared" si="3"/>
        <v>0</v>
      </c>
      <c r="T64" s="523">
        <f t="shared" si="3"/>
        <v>0</v>
      </c>
      <c r="U64" s="509">
        <f t="shared" si="4"/>
        <v>824.0575</v>
      </c>
    </row>
    <row r="65" spans="1:21" s="540" customFormat="1" ht="13" hidden="1" outlineLevel="1" x14ac:dyDescent="0.3">
      <c r="D65" s="527">
        <v>8.25</v>
      </c>
      <c r="E65" s="523">
        <f t="shared" si="3"/>
        <v>0</v>
      </c>
      <c r="F65" s="523">
        <f t="shared" si="3"/>
        <v>0</v>
      </c>
      <c r="G65" s="523">
        <f t="shared" si="3"/>
        <v>0</v>
      </c>
      <c r="H65" s="523">
        <f t="shared" si="3"/>
        <v>0</v>
      </c>
      <c r="I65" s="523">
        <f t="shared" si="3"/>
        <v>0</v>
      </c>
      <c r="J65" s="523">
        <f t="shared" si="3"/>
        <v>0</v>
      </c>
      <c r="K65" s="523">
        <f t="shared" si="3"/>
        <v>0</v>
      </c>
      <c r="L65" s="523">
        <f t="shared" si="3"/>
        <v>0</v>
      </c>
      <c r="M65" s="523">
        <f t="shared" si="3"/>
        <v>0</v>
      </c>
      <c r="N65" s="523">
        <f t="shared" si="3"/>
        <v>0</v>
      </c>
      <c r="O65" s="523">
        <f t="shared" si="3"/>
        <v>483.58406249999996</v>
      </c>
      <c r="P65" s="523">
        <f t="shared" si="3"/>
        <v>0</v>
      </c>
      <c r="Q65" s="523">
        <f t="shared" ref="F65:T68" si="5">IF(Q40&gt;0,0.49*Q$23*$D40^2,0)</f>
        <v>0</v>
      </c>
      <c r="R65" s="523">
        <f t="shared" si="5"/>
        <v>0</v>
      </c>
      <c r="S65" s="523">
        <f t="shared" si="5"/>
        <v>0</v>
      </c>
      <c r="T65" s="523">
        <f t="shared" si="5"/>
        <v>0</v>
      </c>
      <c r="U65" s="509">
        <f t="shared" si="4"/>
        <v>483.58406249999996</v>
      </c>
    </row>
    <row r="66" spans="1:21" s="540" customFormat="1" ht="13" hidden="1" outlineLevel="1" x14ac:dyDescent="0.3">
      <c r="D66" s="527">
        <v>8.75</v>
      </c>
      <c r="E66" s="523">
        <f t="shared" si="3"/>
        <v>0</v>
      </c>
      <c r="F66" s="523">
        <f t="shared" si="5"/>
        <v>0</v>
      </c>
      <c r="G66" s="523">
        <f t="shared" si="5"/>
        <v>0</v>
      </c>
      <c r="H66" s="523">
        <f t="shared" si="5"/>
        <v>0</v>
      </c>
      <c r="I66" s="523">
        <f t="shared" si="5"/>
        <v>0</v>
      </c>
      <c r="J66" s="523">
        <f t="shared" si="5"/>
        <v>0</v>
      </c>
      <c r="K66" s="523">
        <f t="shared" si="5"/>
        <v>0</v>
      </c>
      <c r="L66" s="523">
        <f t="shared" si="5"/>
        <v>0</v>
      </c>
      <c r="M66" s="523">
        <f t="shared" si="5"/>
        <v>0</v>
      </c>
      <c r="N66" s="523">
        <f t="shared" si="5"/>
        <v>0</v>
      </c>
      <c r="O66" s="523">
        <f t="shared" si="5"/>
        <v>543.9765625</v>
      </c>
      <c r="P66" s="523">
        <f t="shared" si="5"/>
        <v>0</v>
      </c>
      <c r="Q66" s="523">
        <f t="shared" si="5"/>
        <v>0</v>
      </c>
      <c r="R66" s="523">
        <f t="shared" si="5"/>
        <v>0</v>
      </c>
      <c r="S66" s="523">
        <f t="shared" si="5"/>
        <v>0</v>
      </c>
      <c r="T66" s="523">
        <f t="shared" si="5"/>
        <v>0</v>
      </c>
      <c r="U66" s="509">
        <f t="shared" si="4"/>
        <v>543.9765625</v>
      </c>
    </row>
    <row r="67" spans="1:21" s="540" customFormat="1" ht="13" hidden="1" outlineLevel="1" x14ac:dyDescent="0.3">
      <c r="D67" s="527">
        <v>9.25</v>
      </c>
      <c r="E67" s="523">
        <f t="shared" si="3"/>
        <v>0</v>
      </c>
      <c r="F67" s="523">
        <f t="shared" si="5"/>
        <v>0</v>
      </c>
      <c r="G67" s="523">
        <f t="shared" si="5"/>
        <v>0</v>
      </c>
      <c r="H67" s="523">
        <f t="shared" si="5"/>
        <v>0</v>
      </c>
      <c r="I67" s="523">
        <f t="shared" si="5"/>
        <v>0</v>
      </c>
      <c r="J67" s="523">
        <f t="shared" si="5"/>
        <v>0</v>
      </c>
      <c r="K67" s="523">
        <f t="shared" si="5"/>
        <v>0</v>
      </c>
      <c r="L67" s="523">
        <f t="shared" si="5"/>
        <v>0</v>
      </c>
      <c r="M67" s="523">
        <f t="shared" si="5"/>
        <v>0</v>
      </c>
      <c r="N67" s="523">
        <f t="shared" si="5"/>
        <v>0</v>
      </c>
      <c r="O67" s="523">
        <f t="shared" si="5"/>
        <v>0</v>
      </c>
      <c r="P67" s="523">
        <f t="shared" si="5"/>
        <v>0</v>
      </c>
      <c r="Q67" s="523">
        <f t="shared" si="5"/>
        <v>0</v>
      </c>
      <c r="R67" s="523">
        <f t="shared" si="5"/>
        <v>0</v>
      </c>
      <c r="S67" s="523">
        <f t="shared" si="5"/>
        <v>0</v>
      </c>
      <c r="T67" s="523">
        <f t="shared" si="5"/>
        <v>0</v>
      </c>
      <c r="U67" s="509">
        <f t="shared" si="4"/>
        <v>0</v>
      </c>
    </row>
    <row r="68" spans="1:21" s="529" customFormat="1" ht="13" hidden="1" outlineLevel="1" x14ac:dyDescent="0.3">
      <c r="A68" s="540"/>
      <c r="B68" s="540"/>
      <c r="C68" s="540"/>
      <c r="D68" s="527">
        <v>9.75</v>
      </c>
      <c r="E68" s="523">
        <f t="shared" si="3"/>
        <v>0</v>
      </c>
      <c r="F68" s="523">
        <f t="shared" si="5"/>
        <v>0</v>
      </c>
      <c r="G68" s="523">
        <f t="shared" si="5"/>
        <v>0</v>
      </c>
      <c r="H68" s="523">
        <f t="shared" si="5"/>
        <v>0</v>
      </c>
      <c r="I68" s="523">
        <f t="shared" si="5"/>
        <v>0</v>
      </c>
      <c r="J68" s="523">
        <f t="shared" si="5"/>
        <v>0</v>
      </c>
      <c r="K68" s="523">
        <f t="shared" si="5"/>
        <v>0</v>
      </c>
      <c r="L68" s="523">
        <f t="shared" si="5"/>
        <v>0</v>
      </c>
      <c r="M68" s="523">
        <f t="shared" si="5"/>
        <v>0</v>
      </c>
      <c r="N68" s="523">
        <f t="shared" si="5"/>
        <v>0</v>
      </c>
      <c r="O68" s="523">
        <f t="shared" si="5"/>
        <v>0</v>
      </c>
      <c r="P68" s="523">
        <f t="shared" si="5"/>
        <v>0</v>
      </c>
      <c r="Q68" s="523">
        <f t="shared" si="5"/>
        <v>0</v>
      </c>
      <c r="R68" s="523">
        <f t="shared" si="5"/>
        <v>0</v>
      </c>
      <c r="S68" s="523">
        <f t="shared" si="5"/>
        <v>0</v>
      </c>
      <c r="T68" s="523">
        <f t="shared" si="5"/>
        <v>0</v>
      </c>
      <c r="U68" s="509">
        <f t="shared" si="4"/>
        <v>0</v>
      </c>
    </row>
    <row r="69" spans="1:21" s="529" customFormat="1" hidden="1" outlineLevel="1" x14ac:dyDescent="0.25">
      <c r="E69" s="509">
        <f>SUM(E49:E68)</f>
        <v>3.4453125</v>
      </c>
      <c r="F69" s="509">
        <f t="shared" ref="F69:T69" si="6">SUM(F49:F68)</f>
        <v>48.004687499999996</v>
      </c>
      <c r="G69" s="509">
        <f t="shared" si="6"/>
        <v>135.16343749999999</v>
      </c>
      <c r="H69" s="509">
        <f t="shared" si="6"/>
        <v>222.33749999999998</v>
      </c>
      <c r="I69" s="509">
        <f t="shared" si="6"/>
        <v>345.95531249999999</v>
      </c>
      <c r="J69" s="509">
        <f t="shared" si="6"/>
        <v>668.86531250000007</v>
      </c>
      <c r="K69" s="509">
        <f t="shared" si="6"/>
        <v>940.24874999999997</v>
      </c>
      <c r="L69" s="509">
        <f t="shared" si="6"/>
        <v>1325.9859375000001</v>
      </c>
      <c r="M69" s="509">
        <f t="shared" si="6"/>
        <v>1716.9140625</v>
      </c>
      <c r="N69" s="509">
        <f t="shared" si="6"/>
        <v>2244.9656249999998</v>
      </c>
      <c r="O69" s="509">
        <f t="shared" si="6"/>
        <v>3413.0643749999999</v>
      </c>
      <c r="P69" s="509">
        <f t="shared" si="6"/>
        <v>2098.1187500000001</v>
      </c>
      <c r="Q69" s="509">
        <f t="shared" si="6"/>
        <v>872.16937499999995</v>
      </c>
      <c r="R69" s="509">
        <f t="shared" si="6"/>
        <v>39.659374999999997</v>
      </c>
      <c r="S69" s="509">
        <f t="shared" si="6"/>
        <v>0</v>
      </c>
      <c r="T69" s="509">
        <f t="shared" si="6"/>
        <v>0</v>
      </c>
    </row>
    <row r="70" spans="1:21" s="529" customFormat="1" ht="13" hidden="1" outlineLevel="1" x14ac:dyDescent="0.3">
      <c r="A70" s="543" t="s">
        <v>261</v>
      </c>
    </row>
    <row r="71" spans="1:21" s="540" customFormat="1" ht="13" hidden="1" outlineLevel="1" x14ac:dyDescent="0.3">
      <c r="A71" s="543"/>
      <c r="E71" s="540" t="s">
        <v>264</v>
      </c>
    </row>
    <row r="72" spans="1:21" s="529" customFormat="1" ht="13" hidden="1" outlineLevel="1" x14ac:dyDescent="0.3">
      <c r="D72" s="535"/>
      <c r="E72" s="536">
        <v>4.5</v>
      </c>
      <c r="F72" s="536">
        <v>5.5</v>
      </c>
      <c r="G72" s="536">
        <v>6.5</v>
      </c>
      <c r="H72" s="536">
        <v>7.5</v>
      </c>
      <c r="I72" s="536">
        <v>8.5</v>
      </c>
      <c r="J72" s="536">
        <v>9.5</v>
      </c>
      <c r="K72" s="536">
        <v>10.5</v>
      </c>
      <c r="L72" s="536">
        <v>11.5</v>
      </c>
      <c r="M72" s="536">
        <v>12.5</v>
      </c>
      <c r="N72" s="536">
        <v>13.5</v>
      </c>
      <c r="O72" s="536">
        <v>14.5</v>
      </c>
      <c r="P72" s="536">
        <v>15.5</v>
      </c>
      <c r="Q72" s="536">
        <v>16.5</v>
      </c>
      <c r="R72" s="536">
        <v>17.5</v>
      </c>
      <c r="S72" s="536">
        <v>18.5</v>
      </c>
      <c r="T72" s="536">
        <v>19.5</v>
      </c>
    </row>
    <row r="73" spans="1:21" s="529" customFormat="1" ht="13" hidden="1" outlineLevel="1" x14ac:dyDescent="0.3">
      <c r="C73" s="529" t="s">
        <v>263</v>
      </c>
      <c r="D73" s="527">
        <v>0.25</v>
      </c>
      <c r="E73" s="522"/>
      <c r="F73" s="522"/>
      <c r="G73" s="522"/>
      <c r="H73" s="522"/>
      <c r="I73" s="522"/>
      <c r="J73" s="522"/>
      <c r="K73" s="522"/>
      <c r="L73" s="522"/>
      <c r="M73" s="522"/>
      <c r="N73" s="522"/>
      <c r="O73" s="522"/>
      <c r="P73" s="522"/>
      <c r="Q73" s="522"/>
      <c r="R73" s="522"/>
      <c r="S73" s="522"/>
      <c r="T73" s="522"/>
    </row>
    <row r="74" spans="1:21" s="529" customFormat="1" ht="13" hidden="1" outlineLevel="1" x14ac:dyDescent="0.3">
      <c r="D74" s="527">
        <v>0.75</v>
      </c>
      <c r="E74" s="522"/>
      <c r="F74" s="522"/>
      <c r="G74" s="522"/>
      <c r="H74" s="522"/>
      <c r="I74" s="522"/>
      <c r="J74" s="522"/>
      <c r="K74" s="522"/>
      <c r="L74" s="522"/>
      <c r="M74" s="522"/>
      <c r="N74" s="522"/>
      <c r="O74" s="522"/>
      <c r="P74" s="522"/>
      <c r="Q74" s="522"/>
      <c r="R74" s="522"/>
      <c r="S74" s="522"/>
      <c r="T74" s="522"/>
    </row>
    <row r="75" spans="1:21" s="529" customFormat="1" ht="13" hidden="1" outlineLevel="1" x14ac:dyDescent="0.3">
      <c r="D75" s="527">
        <v>1.25</v>
      </c>
      <c r="E75" s="522"/>
      <c r="F75" s="522"/>
      <c r="G75" s="522"/>
      <c r="H75" s="522"/>
      <c r="I75" s="522"/>
      <c r="J75" s="522"/>
      <c r="K75" s="522"/>
      <c r="L75" s="522"/>
      <c r="M75" s="522"/>
      <c r="N75" s="522"/>
      <c r="O75" s="522"/>
      <c r="P75" s="522"/>
      <c r="Q75" s="522"/>
      <c r="R75" s="522"/>
      <c r="S75" s="522"/>
      <c r="T75" s="522"/>
    </row>
    <row r="76" spans="1:21" s="529" customFormat="1" ht="13" hidden="1" outlineLevel="1" x14ac:dyDescent="0.3">
      <c r="D76" s="527">
        <v>1.75</v>
      </c>
      <c r="E76" s="522"/>
      <c r="F76" s="522"/>
      <c r="G76" s="522"/>
      <c r="H76" s="522"/>
      <c r="I76" s="522"/>
      <c r="J76" s="522"/>
      <c r="K76" s="522"/>
      <c r="L76" s="522"/>
      <c r="M76" s="522"/>
      <c r="N76" s="522"/>
      <c r="O76" s="522"/>
      <c r="P76" s="522"/>
      <c r="Q76" s="522"/>
      <c r="R76" s="522"/>
      <c r="S76" s="522"/>
      <c r="T76" s="522"/>
    </row>
    <row r="77" spans="1:21" s="529" customFormat="1" ht="13" hidden="1" outlineLevel="1" x14ac:dyDescent="0.3">
      <c r="D77" s="527">
        <v>2.25</v>
      </c>
      <c r="E77" s="522"/>
      <c r="F77" s="522"/>
      <c r="G77" s="522"/>
      <c r="H77" s="522"/>
      <c r="I77" s="522"/>
      <c r="J77" s="522"/>
      <c r="K77" s="522"/>
      <c r="L77" s="522"/>
      <c r="M77" s="522"/>
      <c r="N77" s="522"/>
      <c r="O77" s="522"/>
      <c r="P77" s="522"/>
      <c r="Q77" s="522"/>
      <c r="R77" s="522"/>
      <c r="S77" s="522"/>
      <c r="T77" s="522"/>
    </row>
    <row r="78" spans="1:21" s="529" customFormat="1" ht="13" hidden="1" outlineLevel="1" x14ac:dyDescent="0.3">
      <c r="D78" s="527">
        <v>2.75</v>
      </c>
      <c r="E78" s="522"/>
      <c r="F78" s="522"/>
      <c r="G78" s="522"/>
      <c r="H78" s="522"/>
      <c r="I78" s="522"/>
      <c r="J78" s="522"/>
      <c r="K78" s="522"/>
      <c r="L78" s="522"/>
      <c r="M78" s="522"/>
      <c r="N78" s="522"/>
      <c r="O78" s="522"/>
      <c r="P78" s="522"/>
      <c r="Q78" s="522"/>
      <c r="R78" s="522"/>
      <c r="S78" s="522"/>
      <c r="T78" s="522"/>
    </row>
    <row r="79" spans="1:21" s="529" customFormat="1" ht="13" hidden="1" outlineLevel="1" x14ac:dyDescent="0.3">
      <c r="D79" s="527">
        <v>3.25</v>
      </c>
      <c r="E79" s="522"/>
      <c r="F79" s="522"/>
      <c r="G79" s="522"/>
      <c r="H79" s="522"/>
      <c r="I79" s="522"/>
      <c r="J79" s="522"/>
      <c r="K79" s="522"/>
      <c r="L79" s="522"/>
      <c r="M79" s="522"/>
      <c r="N79" s="522"/>
      <c r="O79" s="522"/>
      <c r="P79" s="522"/>
      <c r="Q79" s="522"/>
      <c r="R79" s="522"/>
      <c r="S79" s="522"/>
      <c r="T79" s="522"/>
    </row>
    <row r="80" spans="1:21" s="529" customFormat="1" ht="13" hidden="1" outlineLevel="1" x14ac:dyDescent="0.3">
      <c r="D80" s="527">
        <v>3.75</v>
      </c>
      <c r="E80" s="522"/>
      <c r="F80" s="522"/>
      <c r="G80" s="522"/>
      <c r="H80" s="522"/>
      <c r="I80" s="522"/>
      <c r="J80" s="522"/>
      <c r="K80" s="522"/>
      <c r="L80" s="522"/>
      <c r="M80" s="522"/>
      <c r="N80" s="522"/>
      <c r="O80" s="522"/>
      <c r="P80" s="522"/>
      <c r="Q80" s="522"/>
      <c r="R80" s="522"/>
      <c r="S80" s="522"/>
      <c r="T80" s="522"/>
    </row>
    <row r="81" spans="1:20" s="459" customFormat="1" ht="13" hidden="1" outlineLevel="1" x14ac:dyDescent="0.3">
      <c r="D81" s="527">
        <v>4.25</v>
      </c>
      <c r="E81" s="522"/>
      <c r="F81" s="522"/>
      <c r="G81" s="522"/>
      <c r="H81" s="522"/>
      <c r="I81" s="522"/>
      <c r="J81" s="522"/>
      <c r="K81" s="522"/>
      <c r="L81" s="522"/>
      <c r="M81" s="522"/>
      <c r="N81" s="522"/>
      <c r="O81" s="522"/>
      <c r="P81" s="522"/>
      <c r="Q81" s="522"/>
      <c r="R81" s="522"/>
      <c r="S81" s="522"/>
      <c r="T81" s="522"/>
    </row>
    <row r="82" spans="1:20" s="459" customFormat="1" ht="13" hidden="1" outlineLevel="1" x14ac:dyDescent="0.3">
      <c r="D82" s="527">
        <v>4.75</v>
      </c>
      <c r="E82" s="522"/>
      <c r="F82" s="522"/>
      <c r="G82" s="522"/>
      <c r="H82" s="522"/>
      <c r="I82" s="522"/>
      <c r="J82" s="522"/>
      <c r="K82" s="522"/>
      <c r="L82" s="522"/>
      <c r="M82" s="522"/>
      <c r="N82" s="522"/>
      <c r="O82" s="522"/>
      <c r="P82" s="522"/>
      <c r="Q82" s="522"/>
      <c r="R82" s="522"/>
      <c r="S82" s="522"/>
      <c r="T82" s="522"/>
    </row>
    <row r="83" spans="1:20" s="459" customFormat="1" ht="13" hidden="1" outlineLevel="1" x14ac:dyDescent="0.3">
      <c r="D83" s="527">
        <v>5.25</v>
      </c>
      <c r="E83" s="522"/>
      <c r="F83" s="522"/>
      <c r="G83" s="522"/>
      <c r="H83" s="522"/>
      <c r="I83" s="522"/>
      <c r="J83" s="522"/>
      <c r="K83" s="522"/>
      <c r="L83" s="522"/>
      <c r="M83" s="522"/>
      <c r="N83" s="522"/>
      <c r="O83" s="522"/>
      <c r="P83" s="522"/>
      <c r="Q83" s="522"/>
      <c r="R83" s="522"/>
      <c r="S83" s="522"/>
      <c r="T83" s="522"/>
    </row>
    <row r="84" spans="1:20" s="459" customFormat="1" ht="13" hidden="1" outlineLevel="1" x14ac:dyDescent="0.3">
      <c r="D84" s="527">
        <v>5.75</v>
      </c>
      <c r="E84" s="522"/>
      <c r="F84" s="522"/>
      <c r="G84" s="522"/>
      <c r="H84" s="522"/>
      <c r="I84" s="522"/>
      <c r="J84" s="522"/>
      <c r="K84" s="522"/>
      <c r="L84" s="522"/>
      <c r="M84" s="522"/>
      <c r="N84" s="522"/>
      <c r="O84" s="522"/>
      <c r="P84" s="522"/>
      <c r="Q84" s="522"/>
      <c r="R84" s="522"/>
      <c r="S84" s="522"/>
      <c r="T84" s="522"/>
    </row>
    <row r="85" spans="1:20" s="459" customFormat="1" ht="13" hidden="1" outlineLevel="1" x14ac:dyDescent="0.3">
      <c r="D85" s="527">
        <v>6.25</v>
      </c>
      <c r="E85" s="522"/>
      <c r="F85" s="522"/>
      <c r="G85" s="522"/>
      <c r="H85" s="522"/>
      <c r="I85" s="522"/>
      <c r="J85" s="522"/>
      <c r="K85" s="522"/>
      <c r="L85" s="522"/>
      <c r="M85" s="522"/>
      <c r="N85" s="522"/>
      <c r="O85" s="522"/>
      <c r="P85" s="522"/>
      <c r="Q85" s="522"/>
      <c r="R85" s="522"/>
      <c r="S85" s="522"/>
      <c r="T85" s="522"/>
    </row>
    <row r="86" spans="1:20" s="459" customFormat="1" ht="13" hidden="1" outlineLevel="1" x14ac:dyDescent="0.3">
      <c r="D86" s="527">
        <v>6.75</v>
      </c>
      <c r="E86" s="522"/>
      <c r="F86" s="522"/>
      <c r="G86" s="522"/>
      <c r="H86" s="522"/>
      <c r="I86" s="522"/>
      <c r="J86" s="522"/>
      <c r="K86" s="522"/>
      <c r="L86" s="522"/>
      <c r="M86" s="522"/>
      <c r="N86" s="522"/>
      <c r="O86" s="522"/>
      <c r="P86" s="522"/>
      <c r="Q86" s="522"/>
      <c r="R86" s="522"/>
      <c r="S86" s="522"/>
      <c r="T86" s="522"/>
    </row>
    <row r="87" spans="1:20" s="459" customFormat="1" ht="13" hidden="1" outlineLevel="1" x14ac:dyDescent="0.3">
      <c r="D87" s="527">
        <v>7.25</v>
      </c>
      <c r="E87" s="522"/>
      <c r="F87" s="522"/>
      <c r="G87" s="522"/>
      <c r="H87" s="522"/>
      <c r="I87" s="522"/>
      <c r="J87" s="522"/>
      <c r="K87" s="522"/>
      <c r="L87" s="522"/>
      <c r="M87" s="522"/>
      <c r="N87" s="522"/>
      <c r="O87" s="522"/>
      <c r="P87" s="522"/>
      <c r="Q87" s="522"/>
      <c r="R87" s="522"/>
      <c r="S87" s="522"/>
      <c r="T87" s="522"/>
    </row>
    <row r="88" spans="1:20" s="459" customFormat="1" ht="13" hidden="1" outlineLevel="1" x14ac:dyDescent="0.3">
      <c r="D88" s="527">
        <v>7.75</v>
      </c>
      <c r="E88" s="522"/>
      <c r="F88" s="522"/>
      <c r="G88" s="522"/>
      <c r="H88" s="522"/>
      <c r="I88" s="522"/>
      <c r="J88" s="522"/>
      <c r="K88" s="522"/>
      <c r="L88" s="522"/>
      <c r="M88" s="522"/>
      <c r="N88" s="522"/>
      <c r="O88" s="522"/>
      <c r="P88" s="522"/>
      <c r="Q88" s="522"/>
      <c r="R88" s="522"/>
      <c r="S88" s="522"/>
      <c r="T88" s="522"/>
    </row>
    <row r="89" spans="1:20" s="459" customFormat="1" ht="13" hidden="1" outlineLevel="1" x14ac:dyDescent="0.3">
      <c r="D89" s="527">
        <v>8.25</v>
      </c>
      <c r="E89" s="522"/>
      <c r="F89" s="522"/>
      <c r="G89" s="522"/>
      <c r="H89" s="522"/>
      <c r="I89" s="522"/>
      <c r="J89" s="522"/>
      <c r="K89" s="522"/>
      <c r="L89" s="522"/>
      <c r="M89" s="522"/>
      <c r="N89" s="522"/>
      <c r="O89" s="522"/>
      <c r="P89" s="522"/>
      <c r="Q89" s="522"/>
      <c r="R89" s="522"/>
      <c r="S89" s="522"/>
      <c r="T89" s="522"/>
    </row>
    <row r="90" spans="1:20" s="459" customFormat="1" ht="13" hidden="1" outlineLevel="1" x14ac:dyDescent="0.3">
      <c r="D90" s="527">
        <v>8.75</v>
      </c>
      <c r="E90" s="522"/>
      <c r="F90" s="522"/>
      <c r="G90" s="522"/>
      <c r="H90" s="522"/>
      <c r="I90" s="522"/>
      <c r="J90" s="522"/>
      <c r="K90" s="522"/>
      <c r="L90" s="522"/>
      <c r="M90" s="522"/>
      <c r="N90" s="522"/>
      <c r="O90" s="522"/>
      <c r="P90" s="522"/>
      <c r="Q90" s="522"/>
      <c r="R90" s="522"/>
      <c r="S90" s="522"/>
      <c r="T90" s="522"/>
    </row>
    <row r="91" spans="1:20" s="459" customFormat="1" ht="13" hidden="1" outlineLevel="1" x14ac:dyDescent="0.3">
      <c r="D91" s="527">
        <v>9.25</v>
      </c>
      <c r="E91" s="522"/>
      <c r="F91" s="522"/>
      <c r="G91" s="522"/>
      <c r="H91" s="522"/>
      <c r="I91" s="522"/>
      <c r="J91" s="522"/>
      <c r="K91" s="522"/>
      <c r="L91" s="522"/>
      <c r="M91" s="522"/>
      <c r="N91" s="522"/>
      <c r="O91" s="522"/>
      <c r="P91" s="522"/>
      <c r="Q91" s="522"/>
      <c r="R91" s="522"/>
      <c r="S91" s="522"/>
      <c r="T91" s="522"/>
    </row>
    <row r="92" spans="1:20" s="459" customFormat="1" ht="13" hidden="1" outlineLevel="1" x14ac:dyDescent="0.3">
      <c r="D92" s="527">
        <v>9.75</v>
      </c>
      <c r="E92" s="522"/>
      <c r="F92" s="522"/>
      <c r="G92" s="522"/>
      <c r="H92" s="522"/>
      <c r="I92" s="522"/>
      <c r="J92" s="522"/>
      <c r="K92" s="522"/>
      <c r="L92" s="522"/>
      <c r="M92" s="522"/>
      <c r="N92" s="522"/>
      <c r="O92" s="522"/>
      <c r="P92" s="522"/>
      <c r="Q92" s="522"/>
      <c r="R92" s="522"/>
      <c r="S92" s="522"/>
      <c r="T92" s="522"/>
    </row>
    <row r="93" spans="1:20" s="540" customFormat="1" ht="13" hidden="1" outlineLevel="1" x14ac:dyDescent="0.3">
      <c r="D93" s="527"/>
      <c r="E93" s="539"/>
      <c r="F93" s="539"/>
      <c r="G93" s="539"/>
      <c r="H93" s="539"/>
      <c r="I93" s="539"/>
      <c r="J93" s="539"/>
      <c r="K93" s="539"/>
      <c r="L93" s="539"/>
      <c r="M93" s="539"/>
      <c r="N93" s="539"/>
      <c r="O93" s="539"/>
      <c r="P93" s="539"/>
      <c r="Q93" s="539"/>
      <c r="R93" s="539"/>
      <c r="S93" s="539"/>
      <c r="T93" s="539"/>
    </row>
    <row r="94" spans="1:20" s="540" customFormat="1" ht="13" hidden="1" outlineLevel="1" x14ac:dyDescent="0.3">
      <c r="A94" s="543" t="s">
        <v>262</v>
      </c>
      <c r="D94" s="527"/>
      <c r="E94" s="539"/>
      <c r="F94" s="539"/>
      <c r="G94" s="539"/>
      <c r="H94" s="539"/>
      <c r="I94" s="539"/>
      <c r="J94" s="539"/>
      <c r="K94" s="539"/>
      <c r="L94" s="539"/>
      <c r="M94" s="539"/>
      <c r="N94" s="539"/>
      <c r="O94" s="539"/>
      <c r="P94" s="539"/>
      <c r="Q94" s="539"/>
      <c r="R94" s="539"/>
      <c r="S94" s="539"/>
      <c r="T94" s="539"/>
    </row>
    <row r="95" spans="1:20" s="540" customFormat="1" ht="13" hidden="1" outlineLevel="1" x14ac:dyDescent="0.3">
      <c r="A95" s="543"/>
      <c r="D95" s="527"/>
      <c r="E95" s="539" t="s">
        <v>264</v>
      </c>
      <c r="F95" s="539"/>
      <c r="G95" s="539"/>
      <c r="H95" s="539"/>
      <c r="I95" s="539"/>
      <c r="J95" s="539"/>
      <c r="K95" s="539"/>
      <c r="L95" s="539"/>
      <c r="M95" s="539"/>
      <c r="N95" s="539"/>
      <c r="O95" s="539"/>
      <c r="P95" s="539"/>
      <c r="Q95" s="539"/>
      <c r="R95" s="539"/>
      <c r="S95" s="539"/>
      <c r="T95" s="539"/>
    </row>
    <row r="96" spans="1:20" s="540" customFormat="1" ht="13" hidden="1" outlineLevel="1" x14ac:dyDescent="0.3">
      <c r="D96" s="555"/>
      <c r="E96" s="556">
        <v>4.5</v>
      </c>
      <c r="F96" s="556">
        <v>5.5</v>
      </c>
      <c r="G96" s="556">
        <v>6.5</v>
      </c>
      <c r="H96" s="556">
        <v>7.5</v>
      </c>
      <c r="I96" s="556">
        <v>8.5</v>
      </c>
      <c r="J96" s="556">
        <v>9.5</v>
      </c>
      <c r="K96" s="556">
        <v>10.5</v>
      </c>
      <c r="L96" s="556">
        <v>11.5</v>
      </c>
      <c r="M96" s="556">
        <v>12.5</v>
      </c>
      <c r="N96" s="556">
        <v>13.5</v>
      </c>
      <c r="O96" s="556">
        <v>14.5</v>
      </c>
      <c r="P96" s="556">
        <v>15.5</v>
      </c>
      <c r="Q96" s="556">
        <v>16.5</v>
      </c>
      <c r="R96" s="556">
        <v>17.5</v>
      </c>
      <c r="S96" s="556">
        <v>18.5</v>
      </c>
      <c r="T96" s="556">
        <v>19.5</v>
      </c>
    </row>
    <row r="97" spans="3:20" s="540" customFormat="1" ht="13" hidden="1" outlineLevel="1" x14ac:dyDescent="0.3">
      <c r="C97" s="540" t="s">
        <v>263</v>
      </c>
      <c r="D97" s="527">
        <v>0.25</v>
      </c>
      <c r="E97" s="523">
        <f>MIN(E73*$G$6,$G$7)</f>
        <v>0</v>
      </c>
      <c r="F97" s="523">
        <f t="shared" ref="F97:T97" si="7">MIN(F73*$G$6,$G$7)</f>
        <v>0</v>
      </c>
      <c r="G97" s="523">
        <f t="shared" si="7"/>
        <v>0</v>
      </c>
      <c r="H97" s="523">
        <f t="shared" si="7"/>
        <v>0</v>
      </c>
      <c r="I97" s="523">
        <f t="shared" si="7"/>
        <v>0</v>
      </c>
      <c r="J97" s="523">
        <f t="shared" si="7"/>
        <v>0</v>
      </c>
      <c r="K97" s="523">
        <f t="shared" si="7"/>
        <v>0</v>
      </c>
      <c r="L97" s="523">
        <f t="shared" si="7"/>
        <v>0</v>
      </c>
      <c r="M97" s="523">
        <f t="shared" si="7"/>
        <v>0</v>
      </c>
      <c r="N97" s="523">
        <f t="shared" si="7"/>
        <v>0</v>
      </c>
      <c r="O97" s="523">
        <f t="shared" si="7"/>
        <v>0</v>
      </c>
      <c r="P97" s="523">
        <f t="shared" si="7"/>
        <v>0</v>
      </c>
      <c r="Q97" s="523">
        <f t="shared" si="7"/>
        <v>0</v>
      </c>
      <c r="R97" s="523">
        <f t="shared" si="7"/>
        <v>0</v>
      </c>
      <c r="S97" s="523">
        <f t="shared" si="7"/>
        <v>0</v>
      </c>
      <c r="T97" s="523">
        <f t="shared" si="7"/>
        <v>0</v>
      </c>
    </row>
    <row r="98" spans="3:20" s="540" customFormat="1" ht="13" hidden="1" outlineLevel="1" x14ac:dyDescent="0.3">
      <c r="D98" s="527">
        <v>0.75</v>
      </c>
      <c r="E98" s="523">
        <f t="shared" ref="E98:T116" si="8">MIN(E74*$G$6,$G$7)</f>
        <v>0</v>
      </c>
      <c r="F98" s="523">
        <f t="shared" si="8"/>
        <v>0</v>
      </c>
      <c r="G98" s="523">
        <f t="shared" si="8"/>
        <v>0</v>
      </c>
      <c r="H98" s="523">
        <f t="shared" si="8"/>
        <v>0</v>
      </c>
      <c r="I98" s="523">
        <f t="shared" si="8"/>
        <v>0</v>
      </c>
      <c r="J98" s="523">
        <f t="shared" si="8"/>
        <v>0</v>
      </c>
      <c r="K98" s="523">
        <f t="shared" si="8"/>
        <v>0</v>
      </c>
      <c r="L98" s="523">
        <f t="shared" si="8"/>
        <v>0</v>
      </c>
      <c r="M98" s="523">
        <f t="shared" si="8"/>
        <v>0</v>
      </c>
      <c r="N98" s="523">
        <f t="shared" si="8"/>
        <v>0</v>
      </c>
      <c r="O98" s="523">
        <f t="shared" si="8"/>
        <v>0</v>
      </c>
      <c r="P98" s="523">
        <f t="shared" si="8"/>
        <v>0</v>
      </c>
      <c r="Q98" s="523">
        <f t="shared" si="8"/>
        <v>0</v>
      </c>
      <c r="R98" s="523">
        <f t="shared" si="8"/>
        <v>0</v>
      </c>
      <c r="S98" s="523">
        <f t="shared" si="8"/>
        <v>0</v>
      </c>
      <c r="T98" s="523">
        <f t="shared" si="8"/>
        <v>0</v>
      </c>
    </row>
    <row r="99" spans="3:20" s="540" customFormat="1" ht="13" hidden="1" outlineLevel="1" x14ac:dyDescent="0.3">
      <c r="D99" s="527">
        <v>1.25</v>
      </c>
      <c r="E99" s="523">
        <f t="shared" si="8"/>
        <v>0</v>
      </c>
      <c r="F99" s="523">
        <f t="shared" si="8"/>
        <v>0</v>
      </c>
      <c r="G99" s="523">
        <f t="shared" si="8"/>
        <v>0</v>
      </c>
      <c r="H99" s="523">
        <f t="shared" si="8"/>
        <v>0</v>
      </c>
      <c r="I99" s="523">
        <f t="shared" si="8"/>
        <v>0</v>
      </c>
      <c r="J99" s="523">
        <f t="shared" si="8"/>
        <v>0</v>
      </c>
      <c r="K99" s="523">
        <f t="shared" si="8"/>
        <v>0</v>
      </c>
      <c r="L99" s="523">
        <f t="shared" si="8"/>
        <v>0</v>
      </c>
      <c r="M99" s="523">
        <f t="shared" si="8"/>
        <v>0</v>
      </c>
      <c r="N99" s="523">
        <f t="shared" si="8"/>
        <v>0</v>
      </c>
      <c r="O99" s="523">
        <f t="shared" si="8"/>
        <v>0</v>
      </c>
      <c r="P99" s="523">
        <f t="shared" si="8"/>
        <v>0</v>
      </c>
      <c r="Q99" s="523">
        <f t="shared" si="8"/>
        <v>0</v>
      </c>
      <c r="R99" s="523">
        <f t="shared" si="8"/>
        <v>0</v>
      </c>
      <c r="S99" s="523">
        <f t="shared" si="8"/>
        <v>0</v>
      </c>
      <c r="T99" s="523">
        <f t="shared" si="8"/>
        <v>0</v>
      </c>
    </row>
    <row r="100" spans="3:20" s="540" customFormat="1" ht="13" hidden="1" outlineLevel="1" x14ac:dyDescent="0.3">
      <c r="D100" s="527">
        <v>1.75</v>
      </c>
      <c r="E100" s="523">
        <f t="shared" si="8"/>
        <v>0</v>
      </c>
      <c r="F100" s="523">
        <f t="shared" si="8"/>
        <v>0</v>
      </c>
      <c r="G100" s="523">
        <f t="shared" si="8"/>
        <v>0</v>
      </c>
      <c r="H100" s="523">
        <f t="shared" si="8"/>
        <v>0</v>
      </c>
      <c r="I100" s="523">
        <f t="shared" si="8"/>
        <v>0</v>
      </c>
      <c r="J100" s="523">
        <f t="shared" si="8"/>
        <v>0</v>
      </c>
      <c r="K100" s="523">
        <f t="shared" si="8"/>
        <v>0</v>
      </c>
      <c r="L100" s="523">
        <f t="shared" si="8"/>
        <v>0</v>
      </c>
      <c r="M100" s="523">
        <f t="shared" si="8"/>
        <v>0</v>
      </c>
      <c r="N100" s="523">
        <f t="shared" si="8"/>
        <v>0</v>
      </c>
      <c r="O100" s="523">
        <f t="shared" si="8"/>
        <v>0</v>
      </c>
      <c r="P100" s="523">
        <f t="shared" si="8"/>
        <v>0</v>
      </c>
      <c r="Q100" s="523">
        <f t="shared" si="8"/>
        <v>0</v>
      </c>
      <c r="R100" s="523">
        <f t="shared" si="8"/>
        <v>0</v>
      </c>
      <c r="S100" s="523">
        <f t="shared" si="8"/>
        <v>0</v>
      </c>
      <c r="T100" s="523">
        <f t="shared" si="8"/>
        <v>0</v>
      </c>
    </row>
    <row r="101" spans="3:20" s="540" customFormat="1" ht="13" hidden="1" outlineLevel="1" x14ac:dyDescent="0.3">
      <c r="D101" s="527">
        <v>2.25</v>
      </c>
      <c r="E101" s="523">
        <f t="shared" si="8"/>
        <v>0</v>
      </c>
      <c r="F101" s="523">
        <f t="shared" si="8"/>
        <v>0</v>
      </c>
      <c r="G101" s="523">
        <f t="shared" si="8"/>
        <v>0</v>
      </c>
      <c r="H101" s="523">
        <f t="shared" si="8"/>
        <v>0</v>
      </c>
      <c r="I101" s="523">
        <f t="shared" si="8"/>
        <v>0</v>
      </c>
      <c r="J101" s="523">
        <f t="shared" si="8"/>
        <v>0</v>
      </c>
      <c r="K101" s="523">
        <f t="shared" si="8"/>
        <v>0</v>
      </c>
      <c r="L101" s="523">
        <f t="shared" si="8"/>
        <v>0</v>
      </c>
      <c r="M101" s="523">
        <f t="shared" si="8"/>
        <v>0</v>
      </c>
      <c r="N101" s="523">
        <f t="shared" si="8"/>
        <v>0</v>
      </c>
      <c r="O101" s="523">
        <f t="shared" si="8"/>
        <v>0</v>
      </c>
      <c r="P101" s="523">
        <f t="shared" si="8"/>
        <v>0</v>
      </c>
      <c r="Q101" s="523">
        <f t="shared" si="8"/>
        <v>0</v>
      </c>
      <c r="R101" s="523">
        <f t="shared" si="8"/>
        <v>0</v>
      </c>
      <c r="S101" s="523">
        <f t="shared" si="8"/>
        <v>0</v>
      </c>
      <c r="T101" s="523">
        <f t="shared" si="8"/>
        <v>0</v>
      </c>
    </row>
    <row r="102" spans="3:20" s="540" customFormat="1" ht="13" hidden="1" outlineLevel="1" x14ac:dyDescent="0.3">
      <c r="D102" s="527">
        <v>2.75</v>
      </c>
      <c r="E102" s="523">
        <f t="shared" si="8"/>
        <v>0</v>
      </c>
      <c r="F102" s="523">
        <f t="shared" si="8"/>
        <v>0</v>
      </c>
      <c r="G102" s="523">
        <f t="shared" si="8"/>
        <v>0</v>
      </c>
      <c r="H102" s="523">
        <f t="shared" si="8"/>
        <v>0</v>
      </c>
      <c r="I102" s="523">
        <f t="shared" si="8"/>
        <v>0</v>
      </c>
      <c r="J102" s="523">
        <f t="shared" si="8"/>
        <v>0</v>
      </c>
      <c r="K102" s="523">
        <f t="shared" si="8"/>
        <v>0</v>
      </c>
      <c r="L102" s="523">
        <f t="shared" si="8"/>
        <v>0</v>
      </c>
      <c r="M102" s="523">
        <f t="shared" si="8"/>
        <v>0</v>
      </c>
      <c r="N102" s="523">
        <f t="shared" si="8"/>
        <v>0</v>
      </c>
      <c r="O102" s="523">
        <f t="shared" si="8"/>
        <v>0</v>
      </c>
      <c r="P102" s="523">
        <f t="shared" si="8"/>
        <v>0</v>
      </c>
      <c r="Q102" s="523">
        <f t="shared" si="8"/>
        <v>0</v>
      </c>
      <c r="R102" s="523">
        <f t="shared" si="8"/>
        <v>0</v>
      </c>
      <c r="S102" s="523">
        <f t="shared" si="8"/>
        <v>0</v>
      </c>
      <c r="T102" s="523">
        <f t="shared" si="8"/>
        <v>0</v>
      </c>
    </row>
    <row r="103" spans="3:20" s="540" customFormat="1" ht="13" hidden="1" outlineLevel="1" x14ac:dyDescent="0.3">
      <c r="D103" s="527">
        <v>3.25</v>
      </c>
      <c r="E103" s="523">
        <f t="shared" si="8"/>
        <v>0</v>
      </c>
      <c r="F103" s="523">
        <f t="shared" si="8"/>
        <v>0</v>
      </c>
      <c r="G103" s="523">
        <f t="shared" si="8"/>
        <v>0</v>
      </c>
      <c r="H103" s="523">
        <f t="shared" si="8"/>
        <v>0</v>
      </c>
      <c r="I103" s="523">
        <f t="shared" si="8"/>
        <v>0</v>
      </c>
      <c r="J103" s="523">
        <f t="shared" si="8"/>
        <v>0</v>
      </c>
      <c r="K103" s="523">
        <f t="shared" si="8"/>
        <v>0</v>
      </c>
      <c r="L103" s="523">
        <f t="shared" si="8"/>
        <v>0</v>
      </c>
      <c r="M103" s="523">
        <f t="shared" si="8"/>
        <v>0</v>
      </c>
      <c r="N103" s="523">
        <f t="shared" si="8"/>
        <v>0</v>
      </c>
      <c r="O103" s="523">
        <f t="shared" si="8"/>
        <v>0</v>
      </c>
      <c r="P103" s="523">
        <f t="shared" si="8"/>
        <v>0</v>
      </c>
      <c r="Q103" s="523">
        <f t="shared" si="8"/>
        <v>0</v>
      </c>
      <c r="R103" s="523">
        <f t="shared" si="8"/>
        <v>0</v>
      </c>
      <c r="S103" s="523">
        <f t="shared" si="8"/>
        <v>0</v>
      </c>
      <c r="T103" s="523">
        <f t="shared" si="8"/>
        <v>0</v>
      </c>
    </row>
    <row r="104" spans="3:20" s="540" customFormat="1" ht="13" hidden="1" outlineLevel="1" x14ac:dyDescent="0.3">
      <c r="D104" s="527">
        <v>3.75</v>
      </c>
      <c r="E104" s="523">
        <f t="shared" si="8"/>
        <v>0</v>
      </c>
      <c r="F104" s="523">
        <f t="shared" si="8"/>
        <v>0</v>
      </c>
      <c r="G104" s="523">
        <f t="shared" si="8"/>
        <v>0</v>
      </c>
      <c r="H104" s="523">
        <f t="shared" si="8"/>
        <v>0</v>
      </c>
      <c r="I104" s="523">
        <f t="shared" si="8"/>
        <v>0</v>
      </c>
      <c r="J104" s="523">
        <f t="shared" si="8"/>
        <v>0</v>
      </c>
      <c r="K104" s="523">
        <f t="shared" si="8"/>
        <v>0</v>
      </c>
      <c r="L104" s="523">
        <f t="shared" si="8"/>
        <v>0</v>
      </c>
      <c r="M104" s="523">
        <f t="shared" si="8"/>
        <v>0</v>
      </c>
      <c r="N104" s="523">
        <f t="shared" si="8"/>
        <v>0</v>
      </c>
      <c r="O104" s="523">
        <f t="shared" si="8"/>
        <v>0</v>
      </c>
      <c r="P104" s="523">
        <f t="shared" si="8"/>
        <v>0</v>
      </c>
      <c r="Q104" s="523">
        <f t="shared" si="8"/>
        <v>0</v>
      </c>
      <c r="R104" s="523">
        <f t="shared" si="8"/>
        <v>0</v>
      </c>
      <c r="S104" s="523">
        <f t="shared" si="8"/>
        <v>0</v>
      </c>
      <c r="T104" s="523">
        <f t="shared" si="8"/>
        <v>0</v>
      </c>
    </row>
    <row r="105" spans="3:20" s="540" customFormat="1" ht="13" hidden="1" outlineLevel="1" x14ac:dyDescent="0.3">
      <c r="D105" s="527">
        <v>4.25</v>
      </c>
      <c r="E105" s="523">
        <f t="shared" si="8"/>
        <v>0</v>
      </c>
      <c r="F105" s="523">
        <f t="shared" si="8"/>
        <v>0</v>
      </c>
      <c r="G105" s="523">
        <f t="shared" si="8"/>
        <v>0</v>
      </c>
      <c r="H105" s="523">
        <f t="shared" si="8"/>
        <v>0</v>
      </c>
      <c r="I105" s="523">
        <f t="shared" si="8"/>
        <v>0</v>
      </c>
      <c r="J105" s="523">
        <f t="shared" si="8"/>
        <v>0</v>
      </c>
      <c r="K105" s="523">
        <f t="shared" si="8"/>
        <v>0</v>
      </c>
      <c r="L105" s="523">
        <f t="shared" si="8"/>
        <v>0</v>
      </c>
      <c r="M105" s="523">
        <f t="shared" si="8"/>
        <v>0</v>
      </c>
      <c r="N105" s="523">
        <f t="shared" si="8"/>
        <v>0</v>
      </c>
      <c r="O105" s="523">
        <f t="shared" si="8"/>
        <v>0</v>
      </c>
      <c r="P105" s="523">
        <f t="shared" si="8"/>
        <v>0</v>
      </c>
      <c r="Q105" s="523">
        <f t="shared" si="8"/>
        <v>0</v>
      </c>
      <c r="R105" s="523">
        <f t="shared" si="8"/>
        <v>0</v>
      </c>
      <c r="S105" s="523">
        <f t="shared" si="8"/>
        <v>0</v>
      </c>
      <c r="T105" s="523">
        <f t="shared" si="8"/>
        <v>0</v>
      </c>
    </row>
    <row r="106" spans="3:20" s="540" customFormat="1" ht="13" hidden="1" outlineLevel="1" x14ac:dyDescent="0.3">
      <c r="D106" s="527">
        <v>4.75</v>
      </c>
      <c r="E106" s="523">
        <f t="shared" si="8"/>
        <v>0</v>
      </c>
      <c r="F106" s="523">
        <f t="shared" si="8"/>
        <v>0</v>
      </c>
      <c r="G106" s="523">
        <f t="shared" si="8"/>
        <v>0</v>
      </c>
      <c r="H106" s="523">
        <f t="shared" si="8"/>
        <v>0</v>
      </c>
      <c r="I106" s="523">
        <f t="shared" si="8"/>
        <v>0</v>
      </c>
      <c r="J106" s="523">
        <f t="shared" si="8"/>
        <v>0</v>
      </c>
      <c r="K106" s="523">
        <f t="shared" si="8"/>
        <v>0</v>
      </c>
      <c r="L106" s="523">
        <f t="shared" si="8"/>
        <v>0</v>
      </c>
      <c r="M106" s="523">
        <f t="shared" si="8"/>
        <v>0</v>
      </c>
      <c r="N106" s="523">
        <f t="shared" si="8"/>
        <v>0</v>
      </c>
      <c r="O106" s="523">
        <f t="shared" si="8"/>
        <v>0</v>
      </c>
      <c r="P106" s="523">
        <f t="shared" si="8"/>
        <v>0</v>
      </c>
      <c r="Q106" s="523">
        <f t="shared" si="8"/>
        <v>0</v>
      </c>
      <c r="R106" s="523">
        <f t="shared" si="8"/>
        <v>0</v>
      </c>
      <c r="S106" s="523">
        <f t="shared" si="8"/>
        <v>0</v>
      </c>
      <c r="T106" s="523">
        <f t="shared" si="8"/>
        <v>0</v>
      </c>
    </row>
    <row r="107" spans="3:20" s="540" customFormat="1" ht="13" hidden="1" outlineLevel="1" x14ac:dyDescent="0.3">
      <c r="D107" s="527">
        <v>5.25</v>
      </c>
      <c r="E107" s="523">
        <f t="shared" si="8"/>
        <v>0</v>
      </c>
      <c r="F107" s="523">
        <f t="shared" si="8"/>
        <v>0</v>
      </c>
      <c r="G107" s="523">
        <f t="shared" si="8"/>
        <v>0</v>
      </c>
      <c r="H107" s="523">
        <f t="shared" si="8"/>
        <v>0</v>
      </c>
      <c r="I107" s="523">
        <f t="shared" si="8"/>
        <v>0</v>
      </c>
      <c r="J107" s="523">
        <f t="shared" si="8"/>
        <v>0</v>
      </c>
      <c r="K107" s="523">
        <f t="shared" si="8"/>
        <v>0</v>
      </c>
      <c r="L107" s="523">
        <f t="shared" si="8"/>
        <v>0</v>
      </c>
      <c r="M107" s="523">
        <f t="shared" si="8"/>
        <v>0</v>
      </c>
      <c r="N107" s="523">
        <f t="shared" si="8"/>
        <v>0</v>
      </c>
      <c r="O107" s="523">
        <f t="shared" si="8"/>
        <v>0</v>
      </c>
      <c r="P107" s="523">
        <f t="shared" si="8"/>
        <v>0</v>
      </c>
      <c r="Q107" s="523">
        <f t="shared" si="8"/>
        <v>0</v>
      </c>
      <c r="R107" s="523">
        <f t="shared" si="8"/>
        <v>0</v>
      </c>
      <c r="S107" s="523">
        <f t="shared" si="8"/>
        <v>0</v>
      </c>
      <c r="T107" s="523">
        <f t="shared" si="8"/>
        <v>0</v>
      </c>
    </row>
    <row r="108" spans="3:20" s="540" customFormat="1" ht="13" hidden="1" outlineLevel="1" x14ac:dyDescent="0.3">
      <c r="D108" s="527">
        <v>5.75</v>
      </c>
      <c r="E108" s="523">
        <f t="shared" si="8"/>
        <v>0</v>
      </c>
      <c r="F108" s="523">
        <f t="shared" si="8"/>
        <v>0</v>
      </c>
      <c r="G108" s="523">
        <f t="shared" si="8"/>
        <v>0</v>
      </c>
      <c r="H108" s="523">
        <f t="shared" si="8"/>
        <v>0</v>
      </c>
      <c r="I108" s="523">
        <f t="shared" si="8"/>
        <v>0</v>
      </c>
      <c r="J108" s="523">
        <f t="shared" si="8"/>
        <v>0</v>
      </c>
      <c r="K108" s="523">
        <f t="shared" si="8"/>
        <v>0</v>
      </c>
      <c r="L108" s="523">
        <f t="shared" si="8"/>
        <v>0</v>
      </c>
      <c r="M108" s="523">
        <f t="shared" si="8"/>
        <v>0</v>
      </c>
      <c r="N108" s="523">
        <f t="shared" si="8"/>
        <v>0</v>
      </c>
      <c r="O108" s="523">
        <f t="shared" si="8"/>
        <v>0</v>
      </c>
      <c r="P108" s="523">
        <f t="shared" si="8"/>
        <v>0</v>
      </c>
      <c r="Q108" s="523">
        <f t="shared" si="8"/>
        <v>0</v>
      </c>
      <c r="R108" s="523">
        <f t="shared" si="8"/>
        <v>0</v>
      </c>
      <c r="S108" s="523">
        <f t="shared" si="8"/>
        <v>0</v>
      </c>
      <c r="T108" s="523">
        <f t="shared" si="8"/>
        <v>0</v>
      </c>
    </row>
    <row r="109" spans="3:20" s="540" customFormat="1" ht="13" hidden="1" outlineLevel="1" x14ac:dyDescent="0.3">
      <c r="D109" s="527">
        <v>6.25</v>
      </c>
      <c r="E109" s="523">
        <f t="shared" si="8"/>
        <v>0</v>
      </c>
      <c r="F109" s="523">
        <f t="shared" si="8"/>
        <v>0</v>
      </c>
      <c r="G109" s="523">
        <f t="shared" si="8"/>
        <v>0</v>
      </c>
      <c r="H109" s="523">
        <f t="shared" si="8"/>
        <v>0</v>
      </c>
      <c r="I109" s="523">
        <f t="shared" si="8"/>
        <v>0</v>
      </c>
      <c r="J109" s="523">
        <f t="shared" si="8"/>
        <v>0</v>
      </c>
      <c r="K109" s="523">
        <f t="shared" si="8"/>
        <v>0</v>
      </c>
      <c r="L109" s="523">
        <f t="shared" si="8"/>
        <v>0</v>
      </c>
      <c r="M109" s="523">
        <f t="shared" si="8"/>
        <v>0</v>
      </c>
      <c r="N109" s="523">
        <f t="shared" si="8"/>
        <v>0</v>
      </c>
      <c r="O109" s="523">
        <f t="shared" si="8"/>
        <v>0</v>
      </c>
      <c r="P109" s="523">
        <f t="shared" si="8"/>
        <v>0</v>
      </c>
      <c r="Q109" s="523">
        <f t="shared" si="8"/>
        <v>0</v>
      </c>
      <c r="R109" s="523">
        <f t="shared" si="8"/>
        <v>0</v>
      </c>
      <c r="S109" s="523">
        <f t="shared" si="8"/>
        <v>0</v>
      </c>
      <c r="T109" s="523">
        <f t="shared" si="8"/>
        <v>0</v>
      </c>
    </row>
    <row r="110" spans="3:20" s="540" customFormat="1" ht="13" hidden="1" outlineLevel="1" x14ac:dyDescent="0.3">
      <c r="D110" s="527">
        <v>6.75</v>
      </c>
      <c r="E110" s="523">
        <f t="shared" si="8"/>
        <v>0</v>
      </c>
      <c r="F110" s="523">
        <f t="shared" si="8"/>
        <v>0</v>
      </c>
      <c r="G110" s="523">
        <f t="shared" si="8"/>
        <v>0</v>
      </c>
      <c r="H110" s="523">
        <f t="shared" si="8"/>
        <v>0</v>
      </c>
      <c r="I110" s="523">
        <f t="shared" si="8"/>
        <v>0</v>
      </c>
      <c r="J110" s="523">
        <f t="shared" si="8"/>
        <v>0</v>
      </c>
      <c r="K110" s="523">
        <f t="shared" si="8"/>
        <v>0</v>
      </c>
      <c r="L110" s="523">
        <f t="shared" si="8"/>
        <v>0</v>
      </c>
      <c r="M110" s="523">
        <f t="shared" si="8"/>
        <v>0</v>
      </c>
      <c r="N110" s="523">
        <f t="shared" si="8"/>
        <v>0</v>
      </c>
      <c r="O110" s="523">
        <f t="shared" si="8"/>
        <v>0</v>
      </c>
      <c r="P110" s="523">
        <f t="shared" si="8"/>
        <v>0</v>
      </c>
      <c r="Q110" s="523">
        <f t="shared" si="8"/>
        <v>0</v>
      </c>
      <c r="R110" s="523">
        <f t="shared" si="8"/>
        <v>0</v>
      </c>
      <c r="S110" s="523">
        <f t="shared" si="8"/>
        <v>0</v>
      </c>
      <c r="T110" s="523">
        <f t="shared" si="8"/>
        <v>0</v>
      </c>
    </row>
    <row r="111" spans="3:20" s="540" customFormat="1" ht="13" hidden="1" outlineLevel="1" x14ac:dyDescent="0.3">
      <c r="D111" s="527">
        <v>7.25</v>
      </c>
      <c r="E111" s="523">
        <f t="shared" si="8"/>
        <v>0</v>
      </c>
      <c r="F111" s="523">
        <f t="shared" si="8"/>
        <v>0</v>
      </c>
      <c r="G111" s="523">
        <f t="shared" si="8"/>
        <v>0</v>
      </c>
      <c r="H111" s="523">
        <f t="shared" si="8"/>
        <v>0</v>
      </c>
      <c r="I111" s="523">
        <f t="shared" si="8"/>
        <v>0</v>
      </c>
      <c r="J111" s="523">
        <f t="shared" si="8"/>
        <v>0</v>
      </c>
      <c r="K111" s="523">
        <f t="shared" si="8"/>
        <v>0</v>
      </c>
      <c r="L111" s="523">
        <f t="shared" si="8"/>
        <v>0</v>
      </c>
      <c r="M111" s="523">
        <f t="shared" si="8"/>
        <v>0</v>
      </c>
      <c r="N111" s="523">
        <f t="shared" si="8"/>
        <v>0</v>
      </c>
      <c r="O111" s="523">
        <f t="shared" si="8"/>
        <v>0</v>
      </c>
      <c r="P111" s="523">
        <f t="shared" si="8"/>
        <v>0</v>
      </c>
      <c r="Q111" s="523">
        <f t="shared" si="8"/>
        <v>0</v>
      </c>
      <c r="R111" s="523">
        <f t="shared" si="8"/>
        <v>0</v>
      </c>
      <c r="S111" s="523">
        <f t="shared" si="8"/>
        <v>0</v>
      </c>
      <c r="T111" s="523">
        <f t="shared" si="8"/>
        <v>0</v>
      </c>
    </row>
    <row r="112" spans="3:20" s="540" customFormat="1" ht="13" hidden="1" outlineLevel="1" x14ac:dyDescent="0.3">
      <c r="D112" s="527">
        <v>7.75</v>
      </c>
      <c r="E112" s="523">
        <f t="shared" si="8"/>
        <v>0</v>
      </c>
      <c r="F112" s="523">
        <f t="shared" si="8"/>
        <v>0</v>
      </c>
      <c r="G112" s="523">
        <f t="shared" si="8"/>
        <v>0</v>
      </c>
      <c r="H112" s="523">
        <f t="shared" si="8"/>
        <v>0</v>
      </c>
      <c r="I112" s="523">
        <f t="shared" si="8"/>
        <v>0</v>
      </c>
      <c r="J112" s="523">
        <f t="shared" si="8"/>
        <v>0</v>
      </c>
      <c r="K112" s="523">
        <f t="shared" si="8"/>
        <v>0</v>
      </c>
      <c r="L112" s="523">
        <f t="shared" si="8"/>
        <v>0</v>
      </c>
      <c r="M112" s="523">
        <f t="shared" si="8"/>
        <v>0</v>
      </c>
      <c r="N112" s="523">
        <f t="shared" si="8"/>
        <v>0</v>
      </c>
      <c r="O112" s="523">
        <f t="shared" si="8"/>
        <v>0</v>
      </c>
      <c r="P112" s="523">
        <f t="shared" si="8"/>
        <v>0</v>
      </c>
      <c r="Q112" s="523">
        <f t="shared" si="8"/>
        <v>0</v>
      </c>
      <c r="R112" s="523">
        <f t="shared" si="8"/>
        <v>0</v>
      </c>
      <c r="S112" s="523">
        <f t="shared" si="8"/>
        <v>0</v>
      </c>
      <c r="T112" s="523">
        <f t="shared" si="8"/>
        <v>0</v>
      </c>
    </row>
    <row r="113" spans="1:20" s="540" customFormat="1" ht="13" hidden="1" outlineLevel="1" x14ac:dyDescent="0.3">
      <c r="D113" s="527">
        <v>8.25</v>
      </c>
      <c r="E113" s="523">
        <f t="shared" si="8"/>
        <v>0</v>
      </c>
      <c r="F113" s="523">
        <f t="shared" si="8"/>
        <v>0</v>
      </c>
      <c r="G113" s="523">
        <f t="shared" si="8"/>
        <v>0</v>
      </c>
      <c r="H113" s="523">
        <f t="shared" si="8"/>
        <v>0</v>
      </c>
      <c r="I113" s="523">
        <f t="shared" si="8"/>
        <v>0</v>
      </c>
      <c r="J113" s="523">
        <f t="shared" si="8"/>
        <v>0</v>
      </c>
      <c r="K113" s="523">
        <f t="shared" si="8"/>
        <v>0</v>
      </c>
      <c r="L113" s="523">
        <f t="shared" si="8"/>
        <v>0</v>
      </c>
      <c r="M113" s="523">
        <f t="shared" si="8"/>
        <v>0</v>
      </c>
      <c r="N113" s="523">
        <f t="shared" si="8"/>
        <v>0</v>
      </c>
      <c r="O113" s="523">
        <f t="shared" si="8"/>
        <v>0</v>
      </c>
      <c r="P113" s="523">
        <f t="shared" si="8"/>
        <v>0</v>
      </c>
      <c r="Q113" s="523">
        <f t="shared" ref="F113:T116" si="9">MIN(Q89*$G$6,$G$7)</f>
        <v>0</v>
      </c>
      <c r="R113" s="523">
        <f t="shared" si="9"/>
        <v>0</v>
      </c>
      <c r="S113" s="523">
        <f t="shared" si="9"/>
        <v>0</v>
      </c>
      <c r="T113" s="523">
        <f t="shared" si="9"/>
        <v>0</v>
      </c>
    </row>
    <row r="114" spans="1:20" s="540" customFormat="1" ht="13" hidden="1" outlineLevel="1" x14ac:dyDescent="0.3">
      <c r="D114" s="527">
        <v>8.75</v>
      </c>
      <c r="E114" s="523">
        <f t="shared" si="8"/>
        <v>0</v>
      </c>
      <c r="F114" s="523">
        <f t="shared" si="9"/>
        <v>0</v>
      </c>
      <c r="G114" s="523">
        <f t="shared" si="9"/>
        <v>0</v>
      </c>
      <c r="H114" s="523">
        <f t="shared" si="9"/>
        <v>0</v>
      </c>
      <c r="I114" s="523">
        <f t="shared" si="9"/>
        <v>0</v>
      </c>
      <c r="J114" s="523">
        <f t="shared" si="9"/>
        <v>0</v>
      </c>
      <c r="K114" s="523">
        <f t="shared" si="9"/>
        <v>0</v>
      </c>
      <c r="L114" s="523">
        <f t="shared" si="9"/>
        <v>0</v>
      </c>
      <c r="M114" s="523">
        <f t="shared" si="9"/>
        <v>0</v>
      </c>
      <c r="N114" s="523">
        <f t="shared" si="9"/>
        <v>0</v>
      </c>
      <c r="O114" s="523">
        <f t="shared" si="9"/>
        <v>0</v>
      </c>
      <c r="P114" s="523">
        <f t="shared" si="9"/>
        <v>0</v>
      </c>
      <c r="Q114" s="523">
        <f t="shared" si="9"/>
        <v>0</v>
      </c>
      <c r="R114" s="523">
        <f t="shared" si="9"/>
        <v>0</v>
      </c>
      <c r="S114" s="523">
        <f t="shared" si="9"/>
        <v>0</v>
      </c>
      <c r="T114" s="523">
        <f t="shared" si="9"/>
        <v>0</v>
      </c>
    </row>
    <row r="115" spans="1:20" s="540" customFormat="1" ht="13" hidden="1" outlineLevel="1" x14ac:dyDescent="0.3">
      <c r="D115" s="527">
        <v>9.25</v>
      </c>
      <c r="E115" s="523">
        <f t="shared" si="8"/>
        <v>0</v>
      </c>
      <c r="F115" s="523">
        <f t="shared" si="9"/>
        <v>0</v>
      </c>
      <c r="G115" s="523">
        <f t="shared" si="9"/>
        <v>0</v>
      </c>
      <c r="H115" s="523">
        <f t="shared" si="9"/>
        <v>0</v>
      </c>
      <c r="I115" s="523">
        <f t="shared" si="9"/>
        <v>0</v>
      </c>
      <c r="J115" s="523">
        <f t="shared" si="9"/>
        <v>0</v>
      </c>
      <c r="K115" s="523">
        <f t="shared" si="9"/>
        <v>0</v>
      </c>
      <c r="L115" s="523">
        <f t="shared" si="9"/>
        <v>0</v>
      </c>
      <c r="M115" s="523">
        <f t="shared" si="9"/>
        <v>0</v>
      </c>
      <c r="N115" s="523">
        <f t="shared" si="9"/>
        <v>0</v>
      </c>
      <c r="O115" s="523">
        <f t="shared" si="9"/>
        <v>0</v>
      </c>
      <c r="P115" s="523">
        <f t="shared" si="9"/>
        <v>0</v>
      </c>
      <c r="Q115" s="523">
        <f t="shared" si="9"/>
        <v>0</v>
      </c>
      <c r="R115" s="523">
        <f t="shared" si="9"/>
        <v>0</v>
      </c>
      <c r="S115" s="523">
        <f t="shared" si="9"/>
        <v>0</v>
      </c>
      <c r="T115" s="523">
        <f t="shared" si="9"/>
        <v>0</v>
      </c>
    </row>
    <row r="116" spans="1:20" s="416" customFormat="1" ht="13" hidden="1" outlineLevel="1" x14ac:dyDescent="0.3">
      <c r="B116" s="506"/>
      <c r="C116" s="506"/>
      <c r="D116" s="527">
        <v>9.75</v>
      </c>
      <c r="E116" s="523">
        <f t="shared" si="8"/>
        <v>0</v>
      </c>
      <c r="F116" s="523">
        <f t="shared" si="9"/>
        <v>0</v>
      </c>
      <c r="G116" s="523">
        <f t="shared" si="9"/>
        <v>0</v>
      </c>
      <c r="H116" s="523">
        <f t="shared" si="9"/>
        <v>0</v>
      </c>
      <c r="I116" s="523">
        <f t="shared" si="9"/>
        <v>0</v>
      </c>
      <c r="J116" s="523">
        <f t="shared" si="9"/>
        <v>0</v>
      </c>
      <c r="K116" s="523">
        <f t="shared" si="9"/>
        <v>0</v>
      </c>
      <c r="L116" s="523">
        <f t="shared" si="9"/>
        <v>0</v>
      </c>
      <c r="M116" s="523">
        <f t="shared" si="9"/>
        <v>0</v>
      </c>
      <c r="N116" s="523">
        <f t="shared" si="9"/>
        <v>0</v>
      </c>
      <c r="O116" s="523">
        <f t="shared" si="9"/>
        <v>0</v>
      </c>
      <c r="P116" s="523">
        <f t="shared" si="9"/>
        <v>0</v>
      </c>
      <c r="Q116" s="523">
        <f t="shared" si="9"/>
        <v>0</v>
      </c>
      <c r="R116" s="523">
        <f t="shared" si="9"/>
        <v>0</v>
      </c>
      <c r="S116" s="523">
        <f t="shared" si="9"/>
        <v>0</v>
      </c>
      <c r="T116" s="523">
        <f t="shared" si="9"/>
        <v>0</v>
      </c>
    </row>
    <row r="117" spans="1:20" s="540" customFormat="1" ht="13" hidden="1" outlineLevel="1" x14ac:dyDescent="0.3">
      <c r="B117" s="506"/>
      <c r="C117" s="506"/>
      <c r="D117" s="527"/>
      <c r="E117" s="539"/>
      <c r="F117" s="539"/>
      <c r="G117" s="539"/>
      <c r="H117" s="539"/>
      <c r="I117" s="539"/>
      <c r="J117" s="539"/>
      <c r="K117" s="539"/>
      <c r="L117" s="539"/>
      <c r="M117" s="539"/>
      <c r="N117" s="539"/>
      <c r="O117" s="539"/>
      <c r="P117" s="539"/>
      <c r="Q117" s="539"/>
      <c r="R117" s="539"/>
      <c r="S117" s="539"/>
      <c r="T117" s="539"/>
    </row>
    <row r="118" spans="1:20" hidden="1" outlineLevel="1" x14ac:dyDescent="0.25">
      <c r="B118" s="544"/>
      <c r="C118" s="510"/>
      <c r="D118" s="514"/>
      <c r="E118" s="145"/>
      <c r="F118" s="145"/>
      <c r="G118" s="145"/>
      <c r="H118" s="370"/>
      <c r="I118" s="477"/>
      <c r="J118" s="145"/>
      <c r="K118" s="193"/>
      <c r="L118" s="193"/>
    </row>
    <row r="119" spans="1:20" ht="13" collapsed="1" x14ac:dyDescent="0.3">
      <c r="A119" s="124" t="s">
        <v>166</v>
      </c>
      <c r="J119" s="139"/>
      <c r="K119" s="139"/>
      <c r="L119" s="139"/>
      <c r="N119" s="139"/>
    </row>
    <row r="120" spans="1:20" outlineLevel="1" x14ac:dyDescent="0.25">
      <c r="B120" s="136" t="s">
        <v>173</v>
      </c>
      <c r="G120" s="417">
        <v>20</v>
      </c>
      <c r="H120" s="369"/>
      <c r="I120" s="470"/>
    </row>
    <row r="121" spans="1:20" outlineLevel="1" x14ac:dyDescent="0.25">
      <c r="B121" s="140" t="s">
        <v>172</v>
      </c>
      <c r="G121" s="133">
        <v>0.4</v>
      </c>
      <c r="H121" s="387"/>
      <c r="I121" s="475"/>
    </row>
    <row r="122" spans="1:20" outlineLevel="1" x14ac:dyDescent="0.25">
      <c r="B122" s="140" t="s">
        <v>167</v>
      </c>
      <c r="G122" s="133">
        <v>0</v>
      </c>
      <c r="H122" s="387"/>
      <c r="I122" s="475"/>
    </row>
    <row r="123" spans="1:20" outlineLevel="1" x14ac:dyDescent="0.25">
      <c r="B123" s="140" t="s">
        <v>152</v>
      </c>
      <c r="G123" s="138">
        <f>G121+G122*(1-G121)</f>
        <v>0.4</v>
      </c>
      <c r="H123" s="349"/>
      <c r="I123" s="476"/>
    </row>
    <row r="124" spans="1:20" outlineLevel="1" x14ac:dyDescent="0.25">
      <c r="B124" s="140" t="s">
        <v>151</v>
      </c>
      <c r="G124" s="133">
        <v>0.08</v>
      </c>
      <c r="H124" s="387"/>
      <c r="I124" s="475"/>
    </row>
    <row r="125" spans="1:20" outlineLevel="1" x14ac:dyDescent="0.25">
      <c r="B125" s="140" t="s">
        <v>183</v>
      </c>
      <c r="G125" s="133">
        <v>0.5</v>
      </c>
      <c r="H125" s="387"/>
      <c r="I125" s="475"/>
    </row>
    <row r="126" spans="1:20" outlineLevel="1" x14ac:dyDescent="0.25">
      <c r="B126" s="140" t="s">
        <v>184</v>
      </c>
      <c r="G126" s="133">
        <v>0.5</v>
      </c>
      <c r="H126" s="387"/>
      <c r="I126" s="475"/>
    </row>
    <row r="127" spans="1:20" outlineLevel="1" x14ac:dyDescent="0.25">
      <c r="B127" s="140" t="s">
        <v>169</v>
      </c>
      <c r="G127" s="133">
        <v>0.5</v>
      </c>
      <c r="H127" s="387"/>
      <c r="I127" s="475"/>
    </row>
    <row r="128" spans="1:20" outlineLevel="1" x14ac:dyDescent="0.25">
      <c r="B128" s="140" t="s">
        <v>168</v>
      </c>
      <c r="G128" s="133">
        <v>9.7000000000000003E-2</v>
      </c>
      <c r="H128" s="387"/>
      <c r="I128" s="475"/>
    </row>
    <row r="129" spans="2:12" outlineLevel="1" x14ac:dyDescent="0.25">
      <c r="B129" s="140" t="s">
        <v>170</v>
      </c>
      <c r="G129" s="133">
        <v>0.5</v>
      </c>
      <c r="H129" s="387"/>
      <c r="I129" s="475"/>
    </row>
    <row r="130" spans="2:12" outlineLevel="1" x14ac:dyDescent="0.25">
      <c r="B130" s="140" t="s">
        <v>171</v>
      </c>
      <c r="G130" s="133">
        <v>0.08</v>
      </c>
      <c r="H130" s="387"/>
      <c r="I130" s="475"/>
    </row>
    <row r="131" spans="2:12" outlineLevel="1" x14ac:dyDescent="0.25">
      <c r="B131" s="140" t="s">
        <v>182</v>
      </c>
      <c r="G131" s="141">
        <f>IF(G123&gt;0,G129*G130*(1-G123)+(1-G129)*G128,G129*G130+(1-G129)*G128)</f>
        <v>7.2500000000000009E-2</v>
      </c>
      <c r="H131" s="389"/>
      <c r="I131" s="474"/>
    </row>
    <row r="132" spans="2:12" outlineLevel="1" x14ac:dyDescent="0.25">
      <c r="B132" s="140" t="s">
        <v>150</v>
      </c>
      <c r="F132" s="121" t="s">
        <v>174</v>
      </c>
      <c r="G132" s="142">
        <v>0.2</v>
      </c>
      <c r="H132" s="386"/>
      <c r="I132" s="386"/>
    </row>
    <row r="133" spans="2:12" ht="13" outlineLevel="1" x14ac:dyDescent="0.3">
      <c r="B133" s="124"/>
      <c r="F133" s="121" t="s">
        <v>175</v>
      </c>
      <c r="G133" s="143">
        <v>0.32</v>
      </c>
      <c r="H133" s="352"/>
      <c r="I133" s="352"/>
    </row>
    <row r="134" spans="2:12" outlineLevel="1" x14ac:dyDescent="0.25">
      <c r="F134" s="121" t="s">
        <v>176</v>
      </c>
      <c r="G134" s="143">
        <v>0.192</v>
      </c>
      <c r="H134" s="352"/>
      <c r="I134" s="352"/>
    </row>
    <row r="135" spans="2:12" outlineLevel="1" x14ac:dyDescent="0.25">
      <c r="F135" s="121" t="s">
        <v>177</v>
      </c>
      <c r="G135" s="143">
        <v>0.1152</v>
      </c>
      <c r="H135" s="352"/>
      <c r="I135" s="352"/>
    </row>
    <row r="136" spans="2:12" outlineLevel="1" x14ac:dyDescent="0.25">
      <c r="F136" s="121" t="s">
        <v>178</v>
      </c>
      <c r="G136" s="143">
        <v>0.1152</v>
      </c>
      <c r="H136" s="352"/>
      <c r="I136" s="352"/>
    </row>
    <row r="137" spans="2:12" outlineLevel="1" x14ac:dyDescent="0.25">
      <c r="F137" s="121" t="s">
        <v>179</v>
      </c>
      <c r="G137" s="143">
        <v>5.7599999999999998E-2</v>
      </c>
      <c r="H137" s="352"/>
      <c r="I137" s="352"/>
      <c r="J137" s="137"/>
      <c r="K137" s="137"/>
      <c r="L137" s="137"/>
    </row>
    <row r="138" spans="2:12" outlineLevel="1" x14ac:dyDescent="0.25">
      <c r="B138" s="121" t="s">
        <v>185</v>
      </c>
      <c r="G138" s="134">
        <f>1+(1-G123)*((1+G124)^(0.5)-1)</f>
        <v>1.0235382907247959</v>
      </c>
      <c r="H138" s="121" t="s">
        <v>188</v>
      </c>
    </row>
    <row r="139" spans="2:12" outlineLevel="1" x14ac:dyDescent="0.25">
      <c r="B139" s="121" t="s">
        <v>186</v>
      </c>
      <c r="G139" s="134">
        <f>1+(1-G123)*((1+G124)^(1+0.5)-1)</f>
        <v>1.0734213539827795</v>
      </c>
      <c r="H139" s="121" t="s">
        <v>188</v>
      </c>
    </row>
    <row r="140" spans="2:12" outlineLevel="1" x14ac:dyDescent="0.25">
      <c r="B140" s="121" t="s">
        <v>181</v>
      </c>
      <c r="G140" s="147">
        <f>SUMPRODUCT(G125:G126,G138:G139)</f>
        <v>1.0484798223537877</v>
      </c>
      <c r="H140" s="121"/>
    </row>
    <row r="141" spans="2:12" outlineLevel="1" x14ac:dyDescent="0.25">
      <c r="B141" s="121" t="s">
        <v>189</v>
      </c>
      <c r="G141" s="135">
        <f>-PMT(G131,G120,1)</f>
        <v>9.6234840220136078E-2</v>
      </c>
      <c r="H141" s="121"/>
    </row>
    <row r="142" spans="2:12" outlineLevel="1" x14ac:dyDescent="0.25">
      <c r="B142" s="121" t="s">
        <v>180</v>
      </c>
      <c r="G142" s="144">
        <f>NPV(G131,G132:G137)</f>
        <v>0.82641453990921676</v>
      </c>
      <c r="H142" s="121"/>
    </row>
    <row r="143" spans="2:12" outlineLevel="1" x14ac:dyDescent="0.25">
      <c r="B143" s="121" t="s">
        <v>190</v>
      </c>
      <c r="G143" s="137">
        <v>0.108</v>
      </c>
      <c r="H143" s="146" t="s">
        <v>187</v>
      </c>
      <c r="I143" s="146"/>
      <c r="K143" s="709" t="s">
        <v>482</v>
      </c>
      <c r="L143" s="146"/>
    </row>
  </sheetData>
  <dataConsolidate/>
  <pageMargins left="0.75" right="0.75" top="1" bottom="1" header="0.5" footer="0.5"/>
  <pageSetup scale="92" orientation="portrait" horizontalDpi="300" verticalDpi="300" r:id="rId1"/>
  <headerFooter alignWithMargins="0"/>
  <colBreaks count="2" manualBreakCount="2">
    <brk id="13" max="1048575" man="1"/>
    <brk id="21" max="1048575" man="1"/>
  </colBreaks>
  <drawing r:id="rId2"/>
  <legacyDrawing r:id="rId3"/>
  <controls>
    <mc:AlternateContent xmlns:mc="http://schemas.openxmlformats.org/markup-compatibility/2006">
      <mc:Choice Requires="x14">
        <control shapeId="29697" r:id="rId4" name="CommandButton1">
          <controlPr locked="0" defaultSize="0" autoLine="0" autoPict="0" r:id="rId5">
            <anchor moveWithCells="1" sizeWithCells="1">
              <from>
                <xdr:col>1</xdr:col>
                <xdr:colOff>38100</xdr:colOff>
                <xdr:row>20</xdr:row>
                <xdr:rowOff>0</xdr:rowOff>
              </from>
              <to>
                <xdr:col>9</xdr:col>
                <xdr:colOff>495300</xdr:colOff>
                <xdr:row>20</xdr:row>
                <xdr:rowOff>0</xdr:rowOff>
              </to>
            </anchor>
          </controlPr>
        </control>
      </mc:Choice>
      <mc:Fallback>
        <control shapeId="29697" r:id="rId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70" zoomScaleNormal="70" workbookViewId="0">
      <pane xSplit="8" ySplit="4" topLeftCell="I5" activePane="bottomRight" state="frozen"/>
      <selection activeCell="A3" sqref="A3"/>
      <selection pane="topRight" activeCell="I3" sqref="I3"/>
      <selection pane="bottomLeft" activeCell="A5" sqref="A5"/>
      <selection pane="bottomRight" activeCell="I32" sqref="I32"/>
    </sheetView>
  </sheetViews>
  <sheetFormatPr defaultColWidth="9.08984375" defaultRowHeight="14.5" outlineLevelRow="2" x14ac:dyDescent="0.35"/>
  <cols>
    <col min="1" max="1" width="8.453125" style="37" customWidth="1"/>
    <col min="2" max="2" width="3.90625" style="69" customWidth="1"/>
    <col min="3" max="4" width="4.08984375" style="69" customWidth="1"/>
    <col min="5" max="7" width="9.08984375" style="69"/>
    <col min="8" max="9" width="20.36328125" style="69" customWidth="1"/>
    <col min="10" max="10" width="19.54296875" style="69" bestFit="1" customWidth="1"/>
    <col min="11" max="11" width="10.08984375" style="58" customWidth="1"/>
    <col min="12" max="12" width="20.453125" style="69" bestFit="1" customWidth="1"/>
    <col min="13" max="13" width="10.08984375" style="58" customWidth="1"/>
    <col min="14" max="14" width="22.6328125" style="69" bestFit="1" customWidth="1"/>
    <col min="15" max="15" width="11.54296875" style="58" customWidth="1"/>
    <col min="16" max="16" width="20.90625" style="69" customWidth="1"/>
    <col min="17" max="17" width="11" style="69" customWidth="1"/>
    <col min="18" max="18" width="17.08984375" style="69" bestFit="1" customWidth="1"/>
    <col min="19" max="19" width="16.90625" style="69" bestFit="1" customWidth="1"/>
    <col min="20" max="22" width="13.36328125" style="69" bestFit="1" customWidth="1"/>
    <col min="23" max="16384" width="9.08984375" style="69"/>
  </cols>
  <sheetData>
    <row r="1" spans="1:19" ht="21.75" customHeight="1" x14ac:dyDescent="0.35">
      <c r="A1" s="37" t="s">
        <v>192</v>
      </c>
      <c r="J1" s="489">
        <f>J4*'Performance &amp; Economics'!$S$15</f>
        <v>980</v>
      </c>
      <c r="K1" s="489"/>
      <c r="L1" s="489">
        <f>L4*'Performance &amp; Economics'!$S$15</f>
        <v>9800</v>
      </c>
      <c r="M1" s="489"/>
      <c r="N1" s="489">
        <f>N4*'Performance &amp; Economics'!$S$15</f>
        <v>49000</v>
      </c>
      <c r="O1" s="489"/>
      <c r="P1" s="489">
        <f>P4*'Performance &amp; Economics'!$S$15</f>
        <v>98000</v>
      </c>
    </row>
    <row r="2" spans="1:19" ht="27" customHeight="1" x14ac:dyDescent="0.35">
      <c r="A2" s="37" t="s">
        <v>193</v>
      </c>
      <c r="J2" s="55">
        <f>'Performance &amp; Economics'!$S$17</f>
        <v>2373.7572935999992</v>
      </c>
      <c r="K2" s="160"/>
      <c r="L2" s="55">
        <f>J2*L4</f>
        <v>23737.572935999993</v>
      </c>
      <c r="M2" s="160"/>
      <c r="N2" s="55">
        <f>J2*N4</f>
        <v>118687.86467999996</v>
      </c>
      <c r="O2" s="160"/>
      <c r="P2" s="55">
        <f>J2*P4</f>
        <v>237375.72935999991</v>
      </c>
    </row>
    <row r="3" spans="1:19" ht="22.5" customHeight="1" x14ac:dyDescent="0.35">
      <c r="A3" s="3" t="s">
        <v>252</v>
      </c>
      <c r="I3" s="57"/>
      <c r="J3" s="797" t="s">
        <v>59</v>
      </c>
      <c r="K3" s="797"/>
      <c r="L3" s="797"/>
      <c r="M3" s="797"/>
      <c r="N3" s="797"/>
      <c r="O3" s="797"/>
      <c r="P3" s="797"/>
      <c r="Q3" s="57"/>
    </row>
    <row r="4" spans="1:19" ht="24.75" customHeight="1" x14ac:dyDescent="0.35">
      <c r="I4" s="57" t="s">
        <v>99</v>
      </c>
      <c r="J4" s="57">
        <v>1</v>
      </c>
      <c r="K4" s="97" t="s">
        <v>128</v>
      </c>
      <c r="L4" s="57">
        <v>10</v>
      </c>
      <c r="M4" s="97" t="s">
        <v>128</v>
      </c>
      <c r="N4" s="57">
        <v>50</v>
      </c>
      <c r="O4" s="97" t="s">
        <v>129</v>
      </c>
      <c r="P4" s="57">
        <v>100</v>
      </c>
      <c r="Q4" s="97" t="s">
        <v>129</v>
      </c>
      <c r="R4" s="57"/>
      <c r="S4" s="70"/>
    </row>
    <row r="5" spans="1:19" s="58" customFormat="1" outlineLevel="1" x14ac:dyDescent="0.35">
      <c r="A5" s="70">
        <v>1</v>
      </c>
      <c r="B5" s="457" t="s">
        <v>0</v>
      </c>
      <c r="C5" s="457"/>
      <c r="D5" s="457"/>
      <c r="E5" s="457"/>
      <c r="F5" s="457"/>
      <c r="G5" s="457"/>
      <c r="H5" s="457"/>
      <c r="I5" s="76"/>
      <c r="J5" s="162"/>
      <c r="K5" s="90"/>
      <c r="L5" s="162"/>
      <c r="M5" s="90"/>
      <c r="N5" s="162"/>
      <c r="O5" s="90"/>
      <c r="P5" s="162"/>
      <c r="Q5" s="91"/>
      <c r="R5" s="89"/>
      <c r="S5" s="89"/>
    </row>
    <row r="6" spans="1:19" s="457" customFormat="1" outlineLevel="2" x14ac:dyDescent="0.35">
      <c r="A6" s="70">
        <v>1.1000000000000001</v>
      </c>
      <c r="C6" s="457" t="s">
        <v>88</v>
      </c>
      <c r="I6" s="79"/>
      <c r="J6" s="669">
        <f>('CBS (Total)'!J4*'Performance &amp; Economics'!$G$143)/'CBS (CoE)'!J$2/10</f>
        <v>21.486258613596288</v>
      </c>
      <c r="K6" s="662">
        <f t="shared" ref="K6:K46" si="0">J6/$J$48</f>
        <v>0.22076283056933182</v>
      </c>
      <c r="L6" s="669">
        <f>('CBS (Total)'!L4*'Performance &amp; Economics'!$G$143)/'CBS (CoE)'!L$2/10</f>
        <v>4.3351737191514692</v>
      </c>
      <c r="M6" s="662">
        <f t="shared" ref="M6:M46" si="1">L6/$L$48</f>
        <v>0.1062603805314057</v>
      </c>
      <c r="N6" s="669">
        <f>('CBS (Total)'!N4*'Performance &amp; Economics'!$G$143)/'CBS (CoE)'!N$2/10</f>
        <v>1.166685304547364</v>
      </c>
      <c r="O6" s="662">
        <f t="shared" ref="O6:O46" si="2">N6/$N$48</f>
        <v>4.1479409572297073E-2</v>
      </c>
      <c r="P6" s="669">
        <f>('CBS (Total)'!P4*'Performance &amp; Economics'!$G$143)/'CBS (CoE)'!P$2/10</f>
        <v>0.56127974133201164</v>
      </c>
      <c r="Q6" s="665">
        <f t="shared" ref="Q6:Q46" si="3">P6/$P$48</f>
        <v>2.209770477697752E-2</v>
      </c>
    </row>
    <row r="7" spans="1:19" s="58" customFormat="1" outlineLevel="2" x14ac:dyDescent="0.35">
      <c r="A7" s="408" t="s">
        <v>2</v>
      </c>
      <c r="B7" s="516"/>
      <c r="C7" s="516"/>
      <c r="D7" s="516" t="s">
        <v>1</v>
      </c>
      <c r="E7" s="516"/>
      <c r="F7" s="516"/>
      <c r="G7" s="516"/>
      <c r="H7" s="516"/>
      <c r="I7" s="76"/>
      <c r="J7" s="685">
        <f>('CBS (Total)'!J5*'Performance &amp; Economics'!$G$143)/'CBS (CoE)'!J$2/10</f>
        <v>16.390470965544385</v>
      </c>
      <c r="K7" s="677">
        <f t="shared" si="0"/>
        <v>0.16840562285833868</v>
      </c>
      <c r="L7" s="685">
        <f>('CBS (Total)'!L5*'Performance &amp; Economics'!$G$143)/'CBS (CoE)'!L$2/10</f>
        <v>3.1211278507601516</v>
      </c>
      <c r="M7" s="677">
        <f t="shared" si="1"/>
        <v>7.6502639708255341E-2</v>
      </c>
      <c r="N7" s="685">
        <f>('CBS (Total)'!N5*'Performance &amp; Economics'!$G$143)/'CBS (CoE)'!N$2/10</f>
        <v>0.63855727967082698</v>
      </c>
      <c r="O7" s="677">
        <f t="shared" si="2"/>
        <v>2.2702762120685293E-2</v>
      </c>
      <c r="P7" s="685">
        <f>('CBS (Total)'!P5*'Performance &amp; Economics'!$G$143)/'CBS (CoE)'!P$2/10</f>
        <v>0.31927863983541349</v>
      </c>
      <c r="Q7" s="678">
        <f t="shared" si="3"/>
        <v>1.2570069085220186E-2</v>
      </c>
      <c r="R7" s="89"/>
    </row>
    <row r="8" spans="1:19" s="58" customFormat="1" outlineLevel="2" x14ac:dyDescent="0.35">
      <c r="A8" s="408" t="s">
        <v>89</v>
      </c>
      <c r="B8" s="516"/>
      <c r="C8" s="516"/>
      <c r="D8" s="516"/>
      <c r="E8" s="516" t="s">
        <v>3</v>
      </c>
      <c r="F8" s="516"/>
      <c r="G8" s="516"/>
      <c r="H8" s="516"/>
      <c r="I8" s="76"/>
      <c r="J8" s="685">
        <f>('CBS (Total)'!J6*'Performance &amp; Economics'!$G$143)/'CBS (CoE)'!J$2/10</f>
        <v>1.5241659329513859</v>
      </c>
      <c r="K8" s="677">
        <f t="shared" si="0"/>
        <v>1.5660203652336835E-2</v>
      </c>
      <c r="L8" s="685">
        <f>('CBS (Total)'!L6*'Performance &amp; Economics'!$G$143)/'CBS (CoE)'!L$2/10</f>
        <v>0.19336433477741463</v>
      </c>
      <c r="M8" s="677">
        <f t="shared" si="1"/>
        <v>4.7395950256572178E-3</v>
      </c>
      <c r="N8" s="685">
        <f>('CBS (Total)'!N6*'Performance &amp; Economics'!$G$143)/'CBS (CoE)'!N$2/10</f>
        <v>3.8672866955482929E-2</v>
      </c>
      <c r="O8" s="677">
        <f t="shared" si="2"/>
        <v>1.3749446243379051E-3</v>
      </c>
      <c r="P8" s="685">
        <f>('CBS (Total)'!P6*'Performance &amp; Economics'!$G$143)/'CBS (CoE)'!P$2/10</f>
        <v>1.9336433477741465E-2</v>
      </c>
      <c r="Q8" s="678">
        <f t="shared" si="3"/>
        <v>7.6127956697094102E-4</v>
      </c>
    </row>
    <row r="9" spans="1:19" s="58" customFormat="1" outlineLevel="2" x14ac:dyDescent="0.35">
      <c r="A9" s="408" t="s">
        <v>90</v>
      </c>
      <c r="B9" s="516"/>
      <c r="C9" s="516"/>
      <c r="D9" s="516"/>
      <c r="E9" s="516" t="s">
        <v>5</v>
      </c>
      <c r="F9" s="516"/>
      <c r="G9" s="516"/>
      <c r="H9" s="516"/>
      <c r="I9" s="76"/>
      <c r="J9" s="685">
        <f>('CBS (Total)'!J7*'Performance &amp; Economics'!$G$143)/'CBS (CoE)'!J$2/10</f>
        <v>7.4274653299795164</v>
      </c>
      <c r="K9" s="677">
        <f t="shared" si="0"/>
        <v>7.6314276007283258E-2</v>
      </c>
      <c r="L9" s="685">
        <f>('CBS (Total)'!L7*'Performance &amp; Economics'!$G$143)/'CBS (CoE)'!L$2/10</f>
        <v>1.2966784802720746</v>
      </c>
      <c r="M9" s="677">
        <f t="shared" si="1"/>
        <v>3.1783166642642517E-2</v>
      </c>
      <c r="N9" s="685">
        <f>('CBS (Total)'!N7*'Performance &amp; Economics'!$G$143)/'CBS (CoE)'!N$2/10</f>
        <v>0.25319353483207357</v>
      </c>
      <c r="O9" s="677">
        <f t="shared" si="2"/>
        <v>9.0018433346358163E-3</v>
      </c>
      <c r="P9" s="685">
        <f>('CBS (Total)'!P7*'Performance &amp; Economics'!$G$143)/'CBS (CoE)'!P$2/10</f>
        <v>0.12659676741603679</v>
      </c>
      <c r="Q9" s="678">
        <f t="shared" si="3"/>
        <v>4.9841421061097499E-3</v>
      </c>
    </row>
    <row r="10" spans="1:19" s="58" customFormat="1" outlineLevel="1" x14ac:dyDescent="0.35">
      <c r="A10" s="408" t="s">
        <v>91</v>
      </c>
      <c r="B10" s="516"/>
      <c r="C10" s="516"/>
      <c r="D10" s="516"/>
      <c r="E10" s="516" t="s">
        <v>7</v>
      </c>
      <c r="F10" s="516"/>
      <c r="G10" s="516"/>
      <c r="H10" s="516"/>
      <c r="I10" s="76"/>
      <c r="J10" s="685">
        <f>('CBS (Total)'!J8*'Performance &amp; Economics'!$G$143)/'CBS (CoE)'!J$2/10</f>
        <v>3.2303218280462209</v>
      </c>
      <c r="K10" s="677">
        <f t="shared" si="0"/>
        <v>3.3190282367639261E-2</v>
      </c>
      <c r="L10" s="685">
        <f>('CBS (Total)'!L8*'Performance &amp; Economics'!$G$143)/'CBS (CoE)'!L$2/10</f>
        <v>1.0327930351640735</v>
      </c>
      <c r="M10" s="677">
        <f t="shared" si="1"/>
        <v>2.5315013431157378E-2</v>
      </c>
      <c r="N10" s="685">
        <f>('CBS (Total)'!N8*'Performance &amp; Economics'!$G$143)/'CBS (CoE)'!N$2/10</f>
        <v>0.2065586070328147</v>
      </c>
      <c r="O10" s="677">
        <f t="shared" si="2"/>
        <v>7.3438218758753995E-3</v>
      </c>
      <c r="P10" s="685">
        <f>('CBS (Total)'!P8*'Performance &amp; Economics'!$G$143)/'CBS (CoE)'!P$2/10</f>
        <v>0.10327930351640735</v>
      </c>
      <c r="Q10" s="678">
        <f t="shared" si="3"/>
        <v>4.0661285106447908E-3</v>
      </c>
    </row>
    <row r="11" spans="1:19" s="58" customFormat="1" outlineLevel="1" x14ac:dyDescent="0.35">
      <c r="A11" s="408" t="s">
        <v>92</v>
      </c>
      <c r="B11" s="516"/>
      <c r="C11" s="516"/>
      <c r="D11" s="516"/>
      <c r="E11" s="516" t="s">
        <v>8</v>
      </c>
      <c r="F11" s="516"/>
      <c r="G11" s="516"/>
      <c r="H11" s="516"/>
      <c r="I11" s="76"/>
      <c r="J11" s="685">
        <f>('CBS (Total)'!J9*'Performance &amp; Economics'!$G$143)/'CBS (CoE)'!J$2/10</f>
        <v>4.20851787456726</v>
      </c>
      <c r="K11" s="677">
        <f t="shared" si="0"/>
        <v>4.3240860831079329E-2</v>
      </c>
      <c r="L11" s="685">
        <f>('CBS (Total)'!L9*'Performance &amp; Economics'!$G$143)/'CBS (CoE)'!L$2/10</f>
        <v>0.59829200054658882</v>
      </c>
      <c r="M11" s="677">
        <f t="shared" si="1"/>
        <v>1.4664864608798216E-2</v>
      </c>
      <c r="N11" s="685">
        <f>('CBS (Total)'!N9*'Performance &amp; Economics'!$G$143)/'CBS (CoE)'!N$2/10</f>
        <v>0.14013227085045582</v>
      </c>
      <c r="O11" s="677">
        <f t="shared" si="2"/>
        <v>4.9821522858361751E-3</v>
      </c>
      <c r="P11" s="685">
        <f>('CBS (Total)'!P9*'Performance &amp; Economics'!$G$143)/'CBS (CoE)'!P$2/10</f>
        <v>7.006613542522791E-2</v>
      </c>
      <c r="Q11" s="678">
        <f t="shared" si="3"/>
        <v>2.7585189014947046E-3</v>
      </c>
    </row>
    <row r="12" spans="1:19" s="57" customFormat="1" x14ac:dyDescent="0.35">
      <c r="A12" s="408" t="s">
        <v>4</v>
      </c>
      <c r="B12" s="516"/>
      <c r="C12" s="516"/>
      <c r="D12" s="516" t="s">
        <v>93</v>
      </c>
      <c r="E12" s="516"/>
      <c r="F12" s="516"/>
      <c r="G12" s="516"/>
      <c r="H12" s="516"/>
      <c r="I12" s="79"/>
      <c r="J12" s="685">
        <f>('CBS (Total)'!J10*'Performance &amp; Economics'!$G$143)/'CBS (CoE)'!J$2/10</f>
        <v>0.8824829756807453</v>
      </c>
      <c r="K12" s="677">
        <f t="shared" si="0"/>
        <v>9.0671644209498799E-3</v>
      </c>
      <c r="L12" s="685">
        <f>('CBS (Total)'!L10*'Performance &amp; Economics'!$G$143)/'CBS (CoE)'!L$2/10</f>
        <v>0.13379037564466195</v>
      </c>
      <c r="M12" s="677">
        <f t="shared" si="1"/>
        <v>3.2793648302112642E-3</v>
      </c>
      <c r="N12" s="685">
        <f>('CBS (Total)'!N10*'Performance &amp; Economics'!$G$143)/'CBS (CoE)'!N$2/10</f>
        <v>2.6758075128932392E-2</v>
      </c>
      <c r="O12" s="677">
        <f t="shared" si="2"/>
        <v>9.5133550865277353E-4</v>
      </c>
      <c r="P12" s="685">
        <f>('CBS (Total)'!P10*'Performance &amp; Economics'!$G$143)/'CBS (CoE)'!P$2/10</f>
        <v>1.3379037564466196E-2</v>
      </c>
      <c r="Q12" s="678">
        <f t="shared" si="3"/>
        <v>5.2673560174833396E-4</v>
      </c>
    </row>
    <row r="13" spans="1:19" s="58" customFormat="1" outlineLevel="1" x14ac:dyDescent="0.35">
      <c r="A13" s="408" t="s">
        <v>6</v>
      </c>
      <c r="B13" s="516"/>
      <c r="C13" s="516"/>
      <c r="D13" s="516" t="s">
        <v>146</v>
      </c>
      <c r="E13" s="516"/>
      <c r="F13" s="516"/>
      <c r="G13" s="516"/>
      <c r="H13" s="516"/>
      <c r="I13" s="76"/>
      <c r="J13" s="685">
        <f>('CBS (Total)'!J11*'Performance &amp; Economics'!$G$143)/'CBS (CoE)'!J$2/10</f>
        <v>4.2133046723711622</v>
      </c>
      <c r="K13" s="677">
        <f t="shared" si="0"/>
        <v>4.3290043290043302E-2</v>
      </c>
      <c r="L13" s="685">
        <f>('CBS (Total)'!L11*'Performance &amp; Economics'!$G$143)/'CBS (CoE)'!L$2/10</f>
        <v>1.0802554927466557</v>
      </c>
      <c r="M13" s="677">
        <f t="shared" si="1"/>
        <v>2.6478375992939108E-2</v>
      </c>
      <c r="N13" s="685">
        <f>('CBS (Total)'!N11*'Performance &amp; Economics'!$G$143)/'CBS (CoE)'!N$2/10</f>
        <v>0.5013699497476044</v>
      </c>
      <c r="O13" s="677">
        <f t="shared" si="2"/>
        <v>1.7825311942958999E-2</v>
      </c>
      <c r="P13" s="685">
        <f>('CBS (Total)'!P11*'Performance &amp; Economics'!$G$143)/'CBS (CoE)'!P$2/10</f>
        <v>0.22862206393213197</v>
      </c>
      <c r="Q13" s="678">
        <f t="shared" si="3"/>
        <v>9.0009000900090012E-3</v>
      </c>
    </row>
    <row r="14" spans="1:19" s="457" customFormat="1" outlineLevel="1" x14ac:dyDescent="0.35">
      <c r="A14" s="70">
        <v>1.2</v>
      </c>
      <c r="C14" s="457" t="s">
        <v>10</v>
      </c>
      <c r="I14" s="79"/>
      <c r="J14" s="684">
        <f>('CBS (Total)'!J12*'Performance &amp; Economics'!$G$143)/'CBS (CoE)'!J$2/10</f>
        <v>4.5042515630503646</v>
      </c>
      <c r="K14" s="86">
        <f t="shared" si="0"/>
        <v>4.6279407808398412E-2</v>
      </c>
      <c r="L14" s="684">
        <f>('CBS (Total)'!L12*'Performance &amp; Economics'!$G$143)/'CBS (CoE)'!L$2/10</f>
        <v>2.2111780400429062</v>
      </c>
      <c r="M14" s="674">
        <f t="shared" si="1"/>
        <v>5.4198663116927247E-2</v>
      </c>
      <c r="N14" s="684">
        <f>('CBS (Total)'!N12*'Performance &amp; Economics'!$G$143)/'CBS (CoE)'!N$2/10</f>
        <v>0.68846802678866792</v>
      </c>
      <c r="O14" s="674">
        <f t="shared" si="2"/>
        <v>2.4477249477036684E-2</v>
      </c>
      <c r="P14" s="684">
        <f>('CBS (Total)'!P12*'Performance &amp; Economics'!$G$143)/'CBS (CoE)'!P$2/10</f>
        <v>0.78756156117577591</v>
      </c>
      <c r="Q14" s="679">
        <f t="shared" si="3"/>
        <v>3.1006468951216448E-2</v>
      </c>
    </row>
    <row r="15" spans="1:19" s="58" customFormat="1" outlineLevel="1" x14ac:dyDescent="0.35">
      <c r="A15" s="408" t="s">
        <v>9</v>
      </c>
      <c r="B15" s="516"/>
      <c r="C15" s="516"/>
      <c r="D15" s="516" t="s">
        <v>12</v>
      </c>
      <c r="E15" s="516"/>
      <c r="F15" s="516"/>
      <c r="G15" s="516"/>
      <c r="H15" s="516"/>
      <c r="I15" s="76"/>
      <c r="J15" s="685">
        <f>('CBS (Total)'!J13*'Performance &amp; Economics'!$G$143)/'CBS (CoE)'!J$2/10</f>
        <v>4.0947741482276045</v>
      </c>
      <c r="K15" s="677">
        <f t="shared" si="0"/>
        <v>4.2072188916725831E-2</v>
      </c>
      <c r="L15" s="685">
        <f>('CBS (Total)'!L13*'Performance &amp; Economics'!$G$143)/'CBS (CoE)'!L$2/10</f>
        <v>0.40947741482276045</v>
      </c>
      <c r="M15" s="677">
        <f t="shared" si="1"/>
        <v>1.0036789466097639E-2</v>
      </c>
      <c r="N15" s="685">
        <f>('CBS (Total)'!N13*'Performance &amp; Economics'!$G$143)/'CBS (CoE)'!N$2/10</f>
        <v>0.30574313640099449</v>
      </c>
      <c r="O15" s="677">
        <f t="shared" si="2"/>
        <v>1.0870150441824381E-2</v>
      </c>
      <c r="P15" s="685">
        <f>('CBS (Total)'!P13*'Performance &amp; Economics'!$G$143)/'CBS (CoE)'!P$2/10</f>
        <v>0.3958281676620018</v>
      </c>
      <c r="Q15" s="678">
        <f t="shared" si="3"/>
        <v>1.5583840547405149E-2</v>
      </c>
    </row>
    <row r="16" spans="1:19" s="58" customFormat="1" outlineLevel="1" x14ac:dyDescent="0.35">
      <c r="A16" s="408" t="s">
        <v>11</v>
      </c>
      <c r="B16" s="516"/>
      <c r="C16" s="516"/>
      <c r="D16" s="516" t="s">
        <v>132</v>
      </c>
      <c r="E16" s="516"/>
      <c r="F16" s="516"/>
      <c r="G16" s="516"/>
      <c r="H16" s="516"/>
      <c r="I16" s="76"/>
      <c r="J16" s="685">
        <f>('CBS (Total)'!J14*'Performance &amp; Economics'!$G$143)/'CBS (CoE)'!J$2/10</f>
        <v>0.40947741482276045</v>
      </c>
      <c r="K16" s="677">
        <f t="shared" si="0"/>
        <v>4.2072188916725834E-3</v>
      </c>
      <c r="L16" s="685">
        <f>('CBS (Total)'!L14*'Performance &amp; Economics'!$G$143)/'CBS (CoE)'!L$2/10</f>
        <v>4.0947741482276041E-2</v>
      </c>
      <c r="M16" s="677">
        <f t="shared" si="1"/>
        <v>1.0036789466097639E-3</v>
      </c>
      <c r="N16" s="685">
        <f>('CBS (Total)'!N14*'Performance &amp; Economics'!$G$143)/'CBS (CoE)'!N$2/10</f>
        <v>3.0574313640099448E-2</v>
      </c>
      <c r="O16" s="677">
        <f t="shared" si="2"/>
        <v>1.0870150441824381E-3</v>
      </c>
      <c r="P16" s="685">
        <f>('CBS (Total)'!P14*'Performance &amp; Economics'!$G$143)/'CBS (CoE)'!P$2/10</f>
        <v>3.958281676620018E-2</v>
      </c>
      <c r="Q16" s="678">
        <f t="shared" si="3"/>
        <v>1.5583840547405148E-3</v>
      </c>
    </row>
    <row r="17" spans="1:27" s="58" customFormat="1" outlineLevel="1" x14ac:dyDescent="0.35">
      <c r="A17" s="408" t="s">
        <v>13</v>
      </c>
      <c r="B17" s="516"/>
      <c r="C17" s="516"/>
      <c r="D17" s="516" t="s">
        <v>14</v>
      </c>
      <c r="E17" s="516"/>
      <c r="F17" s="516"/>
      <c r="G17" s="516"/>
      <c r="H17" s="516"/>
      <c r="I17" s="76"/>
      <c r="J17" s="685">
        <f>('CBS (Total)'!J15*'Performance &amp; Economics'!$G$143)/'CBS (CoE)'!J$2/10</f>
        <v>0</v>
      </c>
      <c r="K17" s="677">
        <f t="shared" si="0"/>
        <v>0</v>
      </c>
      <c r="L17" s="685">
        <f>('CBS (Total)'!L15*'Performance &amp; Economics'!$G$143)/'CBS (CoE)'!L$2/10</f>
        <v>0</v>
      </c>
      <c r="M17" s="677">
        <f t="shared" si="1"/>
        <v>0</v>
      </c>
      <c r="N17" s="685">
        <f>('CBS (Total)'!N15*'Performance &amp; Economics'!$G$143)/'CBS (CoE)'!N$2/10</f>
        <v>0</v>
      </c>
      <c r="O17" s="677">
        <f t="shared" si="2"/>
        <v>0</v>
      </c>
      <c r="P17" s="685">
        <f>('CBS (Total)'!P15*'Performance &amp; Economics'!$G$143)/'CBS (CoE)'!P$2/10</f>
        <v>0</v>
      </c>
      <c r="Q17" s="678">
        <f t="shared" si="3"/>
        <v>0</v>
      </c>
    </row>
    <row r="18" spans="1:27" s="57" customFormat="1" x14ac:dyDescent="0.35">
      <c r="A18" s="408" t="s">
        <v>15</v>
      </c>
      <c r="B18" s="516"/>
      <c r="C18" s="516"/>
      <c r="D18" s="516" t="s">
        <v>56</v>
      </c>
      <c r="E18" s="516"/>
      <c r="F18" s="516"/>
      <c r="G18" s="516"/>
      <c r="H18" s="516"/>
      <c r="I18" s="79"/>
      <c r="J18" s="685">
        <f>('CBS (Total)'!J16*'Performance &amp; Economics'!$G$143)/'CBS (CoE)'!J$2/10</f>
        <v>0</v>
      </c>
      <c r="K18" s="677">
        <f t="shared" si="0"/>
        <v>0</v>
      </c>
      <c r="L18" s="685">
        <f>('CBS (Total)'!L16*'Performance &amp; Economics'!$G$143)/'CBS (CoE)'!L$2/10</f>
        <v>1.7607528837378699</v>
      </c>
      <c r="M18" s="677">
        <f t="shared" si="1"/>
        <v>4.3158194704219846E-2</v>
      </c>
      <c r="N18" s="685">
        <f>('CBS (Total)'!N16*'Performance &amp; Economics'!$G$143)/'CBS (CoE)'!N$2/10</f>
        <v>0.352150576747574</v>
      </c>
      <c r="O18" s="677">
        <f t="shared" si="2"/>
        <v>1.2520083991029867E-2</v>
      </c>
      <c r="P18" s="685">
        <f>('CBS (Total)'!P16*'Performance &amp; Economics'!$G$143)/'CBS (CoE)'!P$2/10</f>
        <v>0.352150576747574</v>
      </c>
      <c r="Q18" s="678">
        <f t="shared" si="3"/>
        <v>1.3864244349070786E-2</v>
      </c>
    </row>
    <row r="19" spans="1:27" s="58" customFormat="1" outlineLevel="1" x14ac:dyDescent="0.35">
      <c r="A19" s="408" t="s">
        <v>16</v>
      </c>
      <c r="B19" s="516"/>
      <c r="C19" s="516"/>
      <c r="D19" s="516" t="s">
        <v>17</v>
      </c>
      <c r="E19" s="516"/>
      <c r="F19" s="516"/>
      <c r="G19" s="516"/>
      <c r="H19" s="516"/>
      <c r="I19" s="76"/>
      <c r="J19" s="685">
        <f>('CBS (Total)'!J17*'Performance &amp; Economics'!$G$143)/'CBS (CoE)'!J$2/10</f>
        <v>0</v>
      </c>
      <c r="K19" s="677">
        <f t="shared" si="0"/>
        <v>0</v>
      </c>
      <c r="L19" s="685">
        <f>('CBS (Total)'!L17*'Performance &amp; Economics'!$G$143)/'CBS (CoE)'!L$2/10</f>
        <v>0</v>
      </c>
      <c r="M19" s="677">
        <f t="shared" si="1"/>
        <v>0</v>
      </c>
      <c r="N19" s="685">
        <f>('CBS (Total)'!N17*'Performance &amp; Economics'!$G$143)/'CBS (CoE)'!N$2/10</f>
        <v>0</v>
      </c>
      <c r="O19" s="677">
        <f t="shared" si="2"/>
        <v>0</v>
      </c>
      <c r="P19" s="685">
        <f>('CBS (Total)'!P17*'Performance &amp; Economics'!$G$143)/'CBS (CoE)'!P$2/10</f>
        <v>0</v>
      </c>
      <c r="Q19" s="678">
        <f t="shared" si="3"/>
        <v>0</v>
      </c>
    </row>
    <row r="20" spans="1:27" s="457" customFormat="1" outlineLevel="1" x14ac:dyDescent="0.35">
      <c r="A20" s="70">
        <v>1.3</v>
      </c>
      <c r="C20" s="457" t="s">
        <v>18</v>
      </c>
      <c r="I20" s="79"/>
      <c r="J20" s="684">
        <f>('CBS (Total)'!J18*'Performance &amp; Economics'!$G$143)/'CBS (CoE)'!J$2/10</f>
        <v>2.387594559595712</v>
      </c>
      <c r="K20" s="86">
        <f t="shared" si="0"/>
        <v>2.4531592154194218E-2</v>
      </c>
      <c r="L20" s="684">
        <f>('CBS (Total)'!L18*'Performance &amp; Economics'!$G$143)/'CBS (CoE)'!L$2/10</f>
        <v>2.1488351036361406</v>
      </c>
      <c r="M20" s="674">
        <f t="shared" si="1"/>
        <v>5.2670561920713871E-2</v>
      </c>
      <c r="N20" s="684">
        <f>('CBS (Total)'!N18*'Performance &amp; Economics'!$G$143)/'CBS (CoE)'!N$2/10</f>
        <v>2.1488351036361411</v>
      </c>
      <c r="O20" s="674">
        <f t="shared" si="2"/>
        <v>7.6397989260380203E-2</v>
      </c>
      <c r="P20" s="684">
        <f>('CBS (Total)'!P18*'Performance &amp; Economics'!$G$143)/'CBS (CoE)'!P$2/10</f>
        <v>2.1488351036361411</v>
      </c>
      <c r="Q20" s="679">
        <f t="shared" si="3"/>
        <v>8.4600102654460718E-2</v>
      </c>
    </row>
    <row r="21" spans="1:27" s="58" customFormat="1" outlineLevel="1" x14ac:dyDescent="0.35">
      <c r="A21" s="408" t="s">
        <v>19</v>
      </c>
      <c r="B21" s="516"/>
      <c r="C21" s="516"/>
      <c r="D21" s="516" t="s">
        <v>20</v>
      </c>
      <c r="E21" s="516"/>
      <c r="F21" s="516"/>
      <c r="G21" s="516"/>
      <c r="H21" s="516"/>
      <c r="I21" s="76"/>
      <c r="J21" s="685">
        <f>('CBS (Total)'!J19*'Performance &amp; Economics'!$G$143)/'CBS (CoE)'!J$2/10</f>
        <v>0.83021545855314671</v>
      </c>
      <c r="K21" s="677">
        <f t="shared" si="0"/>
        <v>8.5301363028661616E-3</v>
      </c>
      <c r="L21" s="685">
        <f>('CBS (Total)'!L19*'Performance &amp; Economics'!$G$143)/'CBS (CoE)'!L$2/10</f>
        <v>0.74719391269783209</v>
      </c>
      <c r="M21" s="677">
        <f t="shared" si="1"/>
        <v>1.8314631578261666E-2</v>
      </c>
      <c r="N21" s="685">
        <f>('CBS (Total)'!N19*'Performance &amp; Economics'!$G$143)/'CBS (CoE)'!N$2/10</f>
        <v>0.74719391269783209</v>
      </c>
      <c r="O21" s="677">
        <f t="shared" si="2"/>
        <v>2.6565143328641568E-2</v>
      </c>
      <c r="P21" s="685">
        <f>('CBS (Total)'!P19*'Performance &amp; Economics'!$G$143)/'CBS (CoE)'!P$2/10</f>
        <v>0.74719391269783209</v>
      </c>
      <c r="Q21" s="678">
        <f t="shared" si="3"/>
        <v>2.9417185902287112E-2</v>
      </c>
    </row>
    <row r="22" spans="1:27" s="58" customFormat="1" outlineLevel="1" x14ac:dyDescent="0.35">
      <c r="A22" s="408" t="s">
        <v>21</v>
      </c>
      <c r="B22" s="516"/>
      <c r="C22" s="516"/>
      <c r="D22" s="516" t="s">
        <v>22</v>
      </c>
      <c r="E22" s="516"/>
      <c r="F22" s="516"/>
      <c r="G22" s="516"/>
      <c r="H22" s="516"/>
      <c r="I22" s="76"/>
      <c r="J22" s="685">
        <f>('CBS (Total)'!J20*'Performance &amp; Economics'!$G$143)/'CBS (CoE)'!J$2/10</f>
        <v>0.81895482964552091</v>
      </c>
      <c r="K22" s="677">
        <f t="shared" si="0"/>
        <v>8.4144377833451668E-3</v>
      </c>
      <c r="L22" s="685">
        <f>('CBS (Total)'!L20*'Performance &amp; Economics'!$G$143)/'CBS (CoE)'!L$2/10</f>
        <v>0.73705934668096873</v>
      </c>
      <c r="M22" s="677">
        <f t="shared" si="1"/>
        <v>1.806622103897575E-2</v>
      </c>
      <c r="N22" s="685">
        <f>('CBS (Total)'!N20*'Performance &amp; Economics'!$G$143)/'CBS (CoE)'!N$2/10</f>
        <v>0.73705934668096884</v>
      </c>
      <c r="O22" s="677">
        <f t="shared" si="2"/>
        <v>2.6204826957969489E-2</v>
      </c>
      <c r="P22" s="685">
        <f>('CBS (Total)'!P20*'Performance &amp; Economics'!$G$143)/'CBS (CoE)'!P$2/10</f>
        <v>0.73705934668096884</v>
      </c>
      <c r="Q22" s="678">
        <f t="shared" si="3"/>
        <v>2.9018185846892343E-2</v>
      </c>
      <c r="R22" s="103"/>
    </row>
    <row r="23" spans="1:27" s="58" customFormat="1" outlineLevel="1" x14ac:dyDescent="0.35">
      <c r="A23" s="408" t="s">
        <v>23</v>
      </c>
      <c r="B23" s="516"/>
      <c r="C23" s="516"/>
      <c r="D23" s="516" t="s">
        <v>350</v>
      </c>
      <c r="E23" s="516"/>
      <c r="F23" s="516"/>
      <c r="G23" s="516"/>
      <c r="H23" s="516"/>
      <c r="I23" s="76"/>
      <c r="J23" s="685">
        <f>('CBS (Total)'!J21*'Performance &amp; Economics'!$G$143)/'CBS (CoE)'!J$2/10</f>
        <v>0.27298494321517364</v>
      </c>
      <c r="K23" s="677">
        <f t="shared" si="0"/>
        <v>2.8048125944483888E-3</v>
      </c>
      <c r="L23" s="685">
        <f>('CBS (Total)'!L21*'Performance &amp; Economics'!$G$143)/'CBS (CoE)'!L$2/10</f>
        <v>0.24568644889365623</v>
      </c>
      <c r="M23" s="677">
        <f t="shared" si="1"/>
        <v>6.0220736796585831E-3</v>
      </c>
      <c r="N23" s="685">
        <f>('CBS (Total)'!N21*'Performance &amp; Economics'!$G$143)/'CBS (CoE)'!N$2/10</f>
        <v>0.24568644889365626</v>
      </c>
      <c r="O23" s="677">
        <f t="shared" si="2"/>
        <v>8.7349423193231624E-3</v>
      </c>
      <c r="P23" s="685">
        <f>('CBS (Total)'!P21*'Performance &amp; Economics'!$G$143)/'CBS (CoE)'!P$2/10</f>
        <v>0.24568644889365626</v>
      </c>
      <c r="Q23" s="678">
        <f t="shared" si="3"/>
        <v>9.672728615630781E-3</v>
      </c>
      <c r="R23" s="89"/>
      <c r="S23" s="89"/>
      <c r="T23" s="89"/>
      <c r="U23" s="89"/>
    </row>
    <row r="24" spans="1:27" s="57" customFormat="1" x14ac:dyDescent="0.35">
      <c r="A24" s="408" t="s">
        <v>24</v>
      </c>
      <c r="B24" s="516"/>
      <c r="C24" s="516"/>
      <c r="D24" s="516" t="s">
        <v>25</v>
      </c>
      <c r="E24" s="516"/>
      <c r="F24" s="516"/>
      <c r="G24" s="516"/>
      <c r="H24" s="516"/>
      <c r="J24" s="685">
        <f>('CBS (Total)'!J22*'Performance &amp; Economics'!$G$143)/'CBS (CoE)'!J$2/10</f>
        <v>0.46543932818187106</v>
      </c>
      <c r="K24" s="677">
        <f t="shared" si="0"/>
        <v>4.7822054735345027E-3</v>
      </c>
      <c r="L24" s="685">
        <f>('CBS (Total)'!L22*'Performance &amp; Economics'!$G$143)/'CBS (CoE)'!L$2/10</f>
        <v>0.41889539536368392</v>
      </c>
      <c r="M24" s="677">
        <f t="shared" si="1"/>
        <v>1.0267635623817885E-2</v>
      </c>
      <c r="N24" s="685">
        <f>('CBS (Total)'!N22*'Performance &amp; Economics'!$G$143)/'CBS (CoE)'!N$2/10</f>
        <v>0.41889539536368392</v>
      </c>
      <c r="O24" s="677">
        <f t="shared" si="2"/>
        <v>1.4893076654445992E-2</v>
      </c>
      <c r="P24" s="685">
        <f>('CBS (Total)'!P22*'Performance &amp; Economics'!$G$143)/'CBS (CoE)'!P$2/10</f>
        <v>0.41889539536368392</v>
      </c>
      <c r="Q24" s="678">
        <f t="shared" si="3"/>
        <v>1.6492002289650479E-2</v>
      </c>
      <c r="R24" s="95"/>
      <c r="S24" s="95"/>
      <c r="T24" s="95"/>
      <c r="U24" s="95"/>
      <c r="V24" s="96"/>
      <c r="W24" s="95"/>
      <c r="X24" s="95"/>
      <c r="Y24" s="95"/>
    </row>
    <row r="25" spans="1:27" s="58" customFormat="1" outlineLevel="1" x14ac:dyDescent="0.35">
      <c r="A25" s="408" t="s">
        <v>26</v>
      </c>
      <c r="B25" s="516"/>
      <c r="C25" s="516"/>
      <c r="D25" s="516" t="s">
        <v>17</v>
      </c>
      <c r="E25" s="516"/>
      <c r="F25" s="516"/>
      <c r="G25" s="516"/>
      <c r="H25" s="516"/>
      <c r="J25" s="685">
        <f>('CBS (Total)'!J23*'Performance &amp; Economics'!$G$143)/'CBS (CoE)'!J$2/10</f>
        <v>0</v>
      </c>
      <c r="K25" s="677">
        <f t="shared" si="0"/>
        <v>0</v>
      </c>
      <c r="L25" s="685">
        <f>('CBS (Total)'!L23*'Performance &amp; Economics'!$G$143)/'CBS (CoE)'!L$2/10</f>
        <v>0</v>
      </c>
      <c r="M25" s="677">
        <f t="shared" si="1"/>
        <v>0</v>
      </c>
      <c r="N25" s="685">
        <f>('CBS (Total)'!N23*'Performance &amp; Economics'!$G$143)/'CBS (CoE)'!N$2/10</f>
        <v>0</v>
      </c>
      <c r="O25" s="677">
        <f t="shared" si="2"/>
        <v>0</v>
      </c>
      <c r="P25" s="685">
        <f>('CBS (Total)'!P23*'Performance &amp; Economics'!$G$143)/'CBS (CoE)'!P$2/10</f>
        <v>0</v>
      </c>
      <c r="Q25" s="678">
        <f t="shared" si="3"/>
        <v>0</v>
      </c>
      <c r="R25" s="151"/>
      <c r="S25" s="151"/>
      <c r="T25" s="151"/>
      <c r="U25" s="151"/>
      <c r="V25" s="89"/>
      <c r="W25" s="89"/>
      <c r="X25" s="89"/>
      <c r="Y25" s="89"/>
      <c r="AA25" s="103"/>
    </row>
    <row r="26" spans="1:27" s="457" customFormat="1" outlineLevel="1" x14ac:dyDescent="0.35">
      <c r="A26" s="70">
        <v>1.4</v>
      </c>
      <c r="C26" s="457" t="s">
        <v>27</v>
      </c>
      <c r="I26" s="116">
        <f>I27+I28</f>
        <v>455</v>
      </c>
      <c r="J26" s="684">
        <f>('CBS (Total)'!J24*'Performance &amp; Economics'!$G$143)/'CBS (CoE)'!J$2/10</f>
        <v>23.957841078921675</v>
      </c>
      <c r="K26" s="86">
        <f t="shared" si="0"/>
        <v>0.24615736532027671</v>
      </c>
      <c r="L26" s="684">
        <f>('CBS (Total)'!L24*'Performance &amp; Economics'!$G$143)/'CBS (CoE)'!L$2/10</f>
        <v>17.196393605780237</v>
      </c>
      <c r="M26" s="86">
        <f t="shared" si="1"/>
        <v>0.42150452247060111</v>
      </c>
      <c r="N26" s="684">
        <f>('CBS (Total)'!N24*'Performance &amp; Economics'!$G$143)/'CBS (CoE)'!N$2/10</f>
        <v>13.638873306207103</v>
      </c>
      <c r="O26" s="86">
        <f t="shared" si="2"/>
        <v>0.48490574944913678</v>
      </c>
      <c r="P26" s="684">
        <f>('CBS (Total)'!P24*'Performance &amp; Economics'!$G$143)/'CBS (CoE)'!P$2/10</f>
        <v>12.343180342117424</v>
      </c>
      <c r="Q26" s="92">
        <f t="shared" si="3"/>
        <v>0.48595367892988134</v>
      </c>
      <c r="R26" s="148"/>
      <c r="S26" s="148"/>
      <c r="T26" s="148"/>
      <c r="U26" s="148"/>
      <c r="V26" s="361"/>
      <c r="W26" s="361"/>
      <c r="X26" s="361"/>
      <c r="Y26" s="361"/>
    </row>
    <row r="27" spans="1:27" s="58" customFormat="1" outlineLevel="1" x14ac:dyDescent="0.35">
      <c r="A27" s="408" t="s">
        <v>28</v>
      </c>
      <c r="B27" s="516"/>
      <c r="C27" s="516"/>
      <c r="D27" s="516" t="s">
        <v>460</v>
      </c>
      <c r="E27" s="516"/>
      <c r="F27" s="516"/>
      <c r="G27" s="516"/>
      <c r="H27" s="516"/>
      <c r="I27" s="152">
        <v>425</v>
      </c>
      <c r="J27" s="685">
        <f>('CBS (Total)'!J25*'Performance &amp; Economics'!$G$143)/'CBS (CoE)'!J$2/10</f>
        <v>22.816991503734929</v>
      </c>
      <c r="K27" s="677">
        <f t="shared" si="0"/>
        <v>0.23443558601931117</v>
      </c>
      <c r="L27" s="685">
        <f>('CBS (Total)'!L25*'Performance &amp; Economics'!$G$143)/'CBS (CoE)'!L$2/10</f>
        <v>16.377517719790696</v>
      </c>
      <c r="M27" s="677">
        <f t="shared" si="1"/>
        <v>0.40143287854342946</v>
      </c>
      <c r="N27" s="685">
        <f>('CBS (Total)'!N25*'Performance &amp; Economics'!$G$143)/'CBS (CoE)'!N$2/10</f>
        <v>12.989403148768668</v>
      </c>
      <c r="O27" s="677">
        <f t="shared" si="2"/>
        <v>0.46181499947536836</v>
      </c>
      <c r="P27" s="685">
        <f>('CBS (Total)'!P25*'Performance &amp; Economics'!$G$143)/'CBS (CoE)'!P$2/10</f>
        <v>11.755409849635646</v>
      </c>
      <c r="Q27" s="678">
        <f t="shared" si="3"/>
        <v>0.46281302755226811</v>
      </c>
      <c r="R27" s="151"/>
      <c r="S27" s="151"/>
      <c r="T27" s="151"/>
      <c r="U27" s="151"/>
      <c r="V27" s="89"/>
      <c r="W27" s="89"/>
      <c r="X27" s="89"/>
      <c r="Y27" s="89"/>
    </row>
    <row r="28" spans="1:27" s="58" customFormat="1" outlineLevel="1" x14ac:dyDescent="0.35">
      <c r="A28" s="436" t="s">
        <v>30</v>
      </c>
      <c r="B28" s="516"/>
      <c r="C28" s="516"/>
      <c r="D28" s="516" t="s">
        <v>57</v>
      </c>
      <c r="E28" s="516"/>
      <c r="F28" s="516"/>
      <c r="G28" s="516"/>
      <c r="H28" s="516"/>
      <c r="I28" s="152">
        <v>30</v>
      </c>
      <c r="J28" s="685">
        <f>('CBS (Total)'!J26*'Performance &amp; Economics'!$G$143)/'CBS (CoE)'!J$2/10</f>
        <v>1.1408495751867465</v>
      </c>
      <c r="K28" s="677">
        <f t="shared" si="0"/>
        <v>1.1721779300965558E-2</v>
      </c>
      <c r="L28" s="685">
        <f>('CBS (Total)'!L26*'Performance &amp; Economics'!$G$143)/'CBS (CoE)'!L$2/10</f>
        <v>0.81887588598953498</v>
      </c>
      <c r="M28" s="677">
        <f t="shared" si="1"/>
        <v>2.0071643927171479E-2</v>
      </c>
      <c r="N28" s="685">
        <f>('CBS (Total)'!N26*'Performance &amp; Economics'!$G$143)/'CBS (CoE)'!N$2/10</f>
        <v>0.64947015743843328</v>
      </c>
      <c r="O28" s="677">
        <f t="shared" si="2"/>
        <v>2.3090749973768414E-2</v>
      </c>
      <c r="P28" s="685">
        <f>('CBS (Total)'!P26*'Performance &amp; Economics'!$G$143)/'CBS (CoE)'!P$2/10</f>
        <v>0.58777049248178226</v>
      </c>
      <c r="Q28" s="678">
        <f t="shared" si="3"/>
        <v>2.3140651377613404E-2</v>
      </c>
    </row>
    <row r="29" spans="1:27" s="457" customFormat="1" outlineLevel="1" x14ac:dyDescent="0.35">
      <c r="A29" s="70">
        <v>1.5</v>
      </c>
      <c r="C29" s="457" t="s">
        <v>31</v>
      </c>
      <c r="I29" s="116">
        <v>20</v>
      </c>
      <c r="J29" s="684">
        <f>('CBS (Total)'!J27*'Performance &amp; Economics'!$G$143)/'CBS (CoE)'!J$2/10</f>
        <v>6.0241953288800234</v>
      </c>
      <c r="K29" s="86">
        <f t="shared" si="0"/>
        <v>6.1896230359274454E-2</v>
      </c>
      <c r="L29" s="684">
        <f>('CBS (Total)'!L27*'Performance &amp; Economics'!$G$143)/'CBS (CoE)'!L$2/10</f>
        <v>4.6641806374221328</v>
      </c>
      <c r="M29" s="86">
        <f t="shared" si="1"/>
        <v>0.11432474025439938</v>
      </c>
      <c r="N29" s="684">
        <f>('CBS (Total)'!N27*'Performance &amp; Economics'!$G$143)/'CBS (CoE)'!N$2/10</f>
        <v>3.9900012811475465</v>
      </c>
      <c r="O29" s="86">
        <f t="shared" si="2"/>
        <v>0.14185736006927668</v>
      </c>
      <c r="P29" s="684">
        <f>('CBS (Total)'!P27*'Performance &amp; Economics'!$G$143)/'CBS (CoE)'!P$2/10</f>
        <v>3.7075034516053265</v>
      </c>
      <c r="Q29" s="92">
        <f t="shared" si="3"/>
        <v>0.14596521253158418</v>
      </c>
    </row>
    <row r="30" spans="1:27" s="58" customFormat="1" outlineLevel="1" x14ac:dyDescent="0.35">
      <c r="A30" s="408" t="s">
        <v>32</v>
      </c>
      <c r="B30" s="516"/>
      <c r="C30" s="516"/>
      <c r="D30" s="516" t="s">
        <v>33</v>
      </c>
      <c r="E30" s="516"/>
      <c r="F30" s="516"/>
      <c r="G30" s="516"/>
      <c r="H30" s="516"/>
      <c r="I30" s="152"/>
      <c r="J30" s="685">
        <f>('CBS (Total)'!J28*'Performance &amp; Economics'!$G$143)/'CBS (CoE)'!J$2/10</f>
        <v>0.31875541869425106</v>
      </c>
      <c r="K30" s="677">
        <f t="shared" si="0"/>
        <v>3.2750861727842352E-3</v>
      </c>
      <c r="L30" s="685">
        <f>('CBS (Total)'!L28*'Performance &amp; Economics'!$G$143)/'CBS (CoE)'!L$2/10</f>
        <v>0.26881716391151578</v>
      </c>
      <c r="M30" s="677">
        <f t="shared" si="1"/>
        <v>6.5890356375849978E-3</v>
      </c>
      <c r="N30" s="685">
        <f>('CBS (Total)'!N28*'Performance &amp; Economics'!$G$143)/'CBS (CoE)'!N$2/10</f>
        <v>0.23863426767918466</v>
      </c>
      <c r="O30" s="677">
        <f t="shared" si="2"/>
        <v>8.4842146279457391E-3</v>
      </c>
      <c r="P30" s="685">
        <f>('CBS (Total)'!P28*'Performance &amp; Economics'!$G$143)/'CBS (CoE)'!P$2/10</f>
        <v>0.2267025542952254</v>
      </c>
      <c r="Q30" s="678">
        <f t="shared" si="3"/>
        <v>8.9253285805647765E-3</v>
      </c>
    </row>
    <row r="31" spans="1:27" s="58" customFormat="1" outlineLevel="1" x14ac:dyDescent="0.35">
      <c r="A31" s="408" t="s">
        <v>34</v>
      </c>
      <c r="B31" s="516"/>
      <c r="C31" s="516"/>
      <c r="D31" s="516" t="s">
        <v>38</v>
      </c>
      <c r="E31" s="516"/>
      <c r="F31" s="516"/>
      <c r="G31" s="516"/>
      <c r="H31" s="516"/>
      <c r="I31" s="668"/>
      <c r="J31" s="685">
        <f>('CBS (Total)'!J29*'Performance &amp; Economics'!$G$143)/'CBS (CoE)'!J$2/10</f>
        <v>1.364924716075868</v>
      </c>
      <c r="K31" s="677">
        <f t="shared" si="0"/>
        <v>1.4024062972241942E-2</v>
      </c>
      <c r="L31" s="685">
        <f>('CBS (Total)'!L29*'Performance &amp; Economics'!$G$143)/'CBS (CoE)'!L$2/10</f>
        <v>1.1510869136947579</v>
      </c>
      <c r="M31" s="677">
        <f t="shared" si="1"/>
        <v>2.8214540269419063E-2</v>
      </c>
      <c r="N31" s="685">
        <f>('CBS (Total)'!N29*'Performance &amp; Economics'!$G$143)/'CBS (CoE)'!N$2/10</f>
        <v>1.0218424251178331</v>
      </c>
      <c r="O31" s="677">
        <f t="shared" si="2"/>
        <v>3.6329780022605215E-2</v>
      </c>
      <c r="P31" s="685">
        <f>('CBS (Total)'!P29*'Performance &amp; Economics'!$G$143)/'CBS (CoE)'!P$2/10</f>
        <v>0.97075030386194128</v>
      </c>
      <c r="Q31" s="678">
        <f t="shared" si="3"/>
        <v>3.8218649360111795E-2</v>
      </c>
    </row>
    <row r="32" spans="1:27" s="58" customFormat="1" outlineLevel="1" x14ac:dyDescent="0.35">
      <c r="A32" s="408" t="s">
        <v>35</v>
      </c>
      <c r="B32" s="516"/>
      <c r="C32" s="516"/>
      <c r="D32" s="516" t="s">
        <v>40</v>
      </c>
      <c r="E32" s="516"/>
      <c r="F32" s="516"/>
      <c r="G32" s="516"/>
      <c r="H32" s="516"/>
      <c r="I32" s="668"/>
      <c r="J32" s="685">
        <f>('CBS (Total)'!J30*'Performance &amp; Economics'!$G$143)/'CBS (CoE)'!J$2/10</f>
        <v>0.90994981071724546</v>
      </c>
      <c r="K32" s="677">
        <f t="shared" si="0"/>
        <v>9.3493753148279624E-3</v>
      </c>
      <c r="L32" s="685">
        <f>('CBS (Total)'!L30*'Performance &amp; Economics'!$G$143)/'CBS (CoE)'!L$2/10</f>
        <v>0.76739127579650523</v>
      </c>
      <c r="M32" s="677">
        <f t="shared" si="1"/>
        <v>1.8809693512946042E-2</v>
      </c>
      <c r="N32" s="685">
        <f>('CBS (Total)'!N30*'Performance &amp; Economics'!$G$143)/'CBS (CoE)'!N$2/10</f>
        <v>0.68122828341188879</v>
      </c>
      <c r="O32" s="677">
        <f t="shared" si="2"/>
        <v>2.4219853348403476E-2</v>
      </c>
      <c r="P32" s="685">
        <f>('CBS (Total)'!P30*'Performance &amp; Economics'!$G$143)/'CBS (CoE)'!P$2/10</f>
        <v>0.64716686924129418</v>
      </c>
      <c r="Q32" s="678">
        <f t="shared" si="3"/>
        <v>2.5479099573407861E-2</v>
      </c>
    </row>
    <row r="33" spans="1:18" s="58" customFormat="1" outlineLevel="1" x14ac:dyDescent="0.35">
      <c r="A33" s="408" t="s">
        <v>36</v>
      </c>
      <c r="B33" s="516"/>
      <c r="C33" s="516"/>
      <c r="D33" s="516" t="s">
        <v>42</v>
      </c>
      <c r="E33" s="516"/>
      <c r="F33" s="516"/>
      <c r="G33" s="516"/>
      <c r="H33" s="516"/>
      <c r="I33" s="668"/>
      <c r="J33" s="685">
        <f>('CBS (Total)'!J31*'Performance &amp; Economics'!$G$143)/'CBS (CoE)'!J$2/10</f>
        <v>0.22748745267931136</v>
      </c>
      <c r="K33" s="677">
        <f t="shared" si="0"/>
        <v>2.3373438287069906E-3</v>
      </c>
      <c r="L33" s="685">
        <f>('CBS (Total)'!L31*'Performance &amp; Economics'!$G$143)/'CBS (CoE)'!L$2/10</f>
        <v>0.22748745267931131</v>
      </c>
      <c r="M33" s="677">
        <f t="shared" si="1"/>
        <v>5.5759941478320208E-3</v>
      </c>
      <c r="N33" s="685">
        <f>('CBS (Total)'!N31*'Performance &amp; Economics'!$G$143)/'CBS (CoE)'!N$2/10</f>
        <v>0.22748745267931136</v>
      </c>
      <c r="O33" s="677">
        <f t="shared" si="2"/>
        <v>8.0879095549288536E-3</v>
      </c>
      <c r="P33" s="685">
        <f>('CBS (Total)'!P31*'Performance &amp; Economics'!$G$143)/'CBS (CoE)'!P$2/10</f>
        <v>0.22748745267931136</v>
      </c>
      <c r="Q33" s="678">
        <f t="shared" si="3"/>
        <v>8.9562301996581311E-3</v>
      </c>
    </row>
    <row r="34" spans="1:18" s="58" customFormat="1" outlineLevel="1" x14ac:dyDescent="0.35">
      <c r="A34" s="408" t="s">
        <v>39</v>
      </c>
      <c r="B34" s="516"/>
      <c r="C34" s="516"/>
      <c r="D34" s="516" t="s">
        <v>464</v>
      </c>
      <c r="E34" s="516"/>
      <c r="F34" s="516"/>
      <c r="G34" s="516"/>
      <c r="H34" s="516"/>
      <c r="I34" s="668"/>
      <c r="J34" s="685">
        <f>('CBS (Total)'!J32*'Performance &amp; Economics'!$G$143)/'CBS (CoE)'!J$2/10</f>
        <v>1.8198996214344909</v>
      </c>
      <c r="K34" s="677">
        <f t="shared" si="0"/>
        <v>1.8698750629655925E-2</v>
      </c>
      <c r="L34" s="685">
        <f>('CBS (Total)'!L32*'Performance &amp; Economics'!$G$143)/'CBS (CoE)'!L$2/10</f>
        <v>1.2824615145369282</v>
      </c>
      <c r="M34" s="677">
        <f t="shared" si="1"/>
        <v>3.143469152102403E-2</v>
      </c>
      <c r="N34" s="685">
        <f>('CBS (Total)'!N32*'Performance &amp; Economics'!$G$143)/'CBS (CoE)'!N$2/10</f>
        <v>1.0041503369485301</v>
      </c>
      <c r="O34" s="677">
        <f t="shared" si="2"/>
        <v>3.5700769467228048E-2</v>
      </c>
      <c r="P34" s="685">
        <f>('CBS (Total)'!P32*'Performance &amp; Economics'!$G$143)/'CBS (CoE)'!P$2/10</f>
        <v>0.90373530325367712</v>
      </c>
      <c r="Q34" s="678">
        <f t="shared" si="3"/>
        <v>3.5580254296081838E-2</v>
      </c>
    </row>
    <row r="35" spans="1:18" s="58" customFormat="1" outlineLevel="1" x14ac:dyDescent="0.35">
      <c r="A35" s="408" t="s">
        <v>41</v>
      </c>
      <c r="B35" s="516"/>
      <c r="C35" s="516"/>
      <c r="D35" s="516" t="s">
        <v>58</v>
      </c>
      <c r="E35" s="516"/>
      <c r="F35" s="516"/>
      <c r="G35" s="516"/>
      <c r="H35" s="516"/>
      <c r="I35" s="668"/>
      <c r="J35" s="685">
        <f>('CBS (Total)'!J33*'Performance &amp; Economics'!$G$143)/'CBS (CoE)'!J$2/10</f>
        <v>0.92820340392023337</v>
      </c>
      <c r="K35" s="677">
        <f t="shared" si="0"/>
        <v>9.5369237836434115E-3</v>
      </c>
      <c r="L35" s="685">
        <f>('CBS (Total)'!L33*'Performance &amp; Economics'!$G$143)/'CBS (CoE)'!L$2/10</f>
        <v>0.73944886412380373</v>
      </c>
      <c r="M35" s="677">
        <f t="shared" si="1"/>
        <v>1.8124791017761231E-2</v>
      </c>
      <c r="N35" s="685">
        <f>('CBS (Total)'!N33*'Performance &amp; Economics'!$G$143)/'CBS (CoE)'!N$2/10</f>
        <v>0.6346685531673496</v>
      </c>
      <c r="O35" s="677">
        <f t="shared" si="2"/>
        <v>2.2564505404222265E-2</v>
      </c>
      <c r="P35" s="685">
        <f>('CBS (Total)'!P33*'Performance &amp; Economics'!$G$143)/'CBS (CoE)'!P$2/10</f>
        <v>0.59516849666628979</v>
      </c>
      <c r="Q35" s="678">
        <f t="shared" si="3"/>
        <v>2.3431912401964877E-2</v>
      </c>
    </row>
    <row r="36" spans="1:18" s="58" customFormat="1" outlineLevel="1" x14ac:dyDescent="0.35">
      <c r="A36" s="408" t="s">
        <v>43</v>
      </c>
      <c r="B36" s="516"/>
      <c r="C36" s="516"/>
      <c r="D36" s="516" t="s">
        <v>122</v>
      </c>
      <c r="E36" s="516"/>
      <c r="F36" s="516"/>
      <c r="G36" s="516"/>
      <c r="H36" s="516"/>
      <c r="I36" s="668"/>
      <c r="J36" s="685">
        <f>('CBS (Total)'!J34*'Performance &amp; Economics'!$G$143)/'CBS (CoE)'!J$2/10</f>
        <v>0.45497490535862273</v>
      </c>
      <c r="K36" s="677">
        <f t="shared" si="0"/>
        <v>4.6746876574139812E-3</v>
      </c>
      <c r="L36" s="685">
        <f>('CBS (Total)'!L34*'Performance &amp; Economics'!$G$143)/'CBS (CoE)'!L$2/10</f>
        <v>0.22748745267931131</v>
      </c>
      <c r="M36" s="677">
        <f t="shared" si="1"/>
        <v>5.5759941478320208E-3</v>
      </c>
      <c r="N36" s="685">
        <f>('CBS (Total)'!N34*'Performance &amp; Economics'!$G$143)/'CBS (CoE)'!N$2/10</f>
        <v>0.18198996214344909</v>
      </c>
      <c r="O36" s="677">
        <f t="shared" si="2"/>
        <v>6.4703276439430834E-3</v>
      </c>
      <c r="P36" s="685">
        <f>('CBS (Total)'!P34*'Performance &amp; Economics'!$G$143)/'CBS (CoE)'!P$2/10</f>
        <v>0.13649247160758682</v>
      </c>
      <c r="Q36" s="678">
        <f t="shared" si="3"/>
        <v>5.3737381197948783E-3</v>
      </c>
      <c r="R36" s="151"/>
    </row>
    <row r="37" spans="1:18" s="457" customFormat="1" x14ac:dyDescent="0.35">
      <c r="A37" s="70">
        <v>1.6</v>
      </c>
      <c r="C37" s="457" t="s">
        <v>61</v>
      </c>
      <c r="I37" s="79"/>
      <c r="J37" s="702">
        <f>('CBS (Total)'!J35*'Performance &amp; Economics'!$G$143)/'CBS (CoE)'!J$2/10</f>
        <v>3.2369630967397414</v>
      </c>
      <c r="K37" s="698">
        <f t="shared" si="0"/>
        <v>3.325851878337454E-2</v>
      </c>
      <c r="L37" s="702">
        <f>('CBS (Total)'!L35*'Performance &amp; Economics'!$G$143)/'CBS (CoE)'!L$2/10</f>
        <v>2.4009409346838506</v>
      </c>
      <c r="M37" s="698">
        <f t="shared" si="1"/>
        <v>5.8849982464571425E-2</v>
      </c>
      <c r="N37" s="702">
        <f>('CBS (Total)'!N35*'Performance &amp; Economics'!$G$143)/'CBS (CoE)'!N$2/10</f>
        <v>1.977770969099079</v>
      </c>
      <c r="O37" s="698">
        <f t="shared" si="2"/>
        <v>7.0316109877879368E-2</v>
      </c>
      <c r="P37" s="702">
        <f>('CBS (Total)'!P35*'Performance &amp; Economics'!$G$143)/'CBS (CoE)'!P$2/10</f>
        <v>1.8199518897358893</v>
      </c>
      <c r="Q37" s="700">
        <f t="shared" si="3"/>
        <v>7.1651899411592626E-2</v>
      </c>
    </row>
    <row r="38" spans="1:18" s="457" customFormat="1" outlineLevel="1" x14ac:dyDescent="0.35">
      <c r="A38" s="70">
        <v>1.7</v>
      </c>
      <c r="C38" s="457" t="s">
        <v>44</v>
      </c>
      <c r="I38" s="79"/>
      <c r="J38" s="684">
        <f>('CBS (Total)'!J36*'Performance &amp; Economics'!$G$143)/'CBS (CoE)'!J$2/10</f>
        <v>26.882293879010586</v>
      </c>
      <c r="K38" s="86">
        <f t="shared" si="0"/>
        <v>0.27620496409605894</v>
      </c>
      <c r="L38" s="684">
        <f>('CBS (Total)'!L36*'Performance &amp; Economics'!$G$143)/'CBS (CoE)'!L$2/10</f>
        <v>4.1320698769184414</v>
      </c>
      <c r="M38" s="86">
        <f t="shared" si="1"/>
        <v>0.10128205833229061</v>
      </c>
      <c r="N38" s="684">
        <f>('CBS (Total)'!N36*'Performance &amp; Economics'!$G$143)/'CBS (CoE)'!N$2/10</f>
        <v>1.9592334457019238</v>
      </c>
      <c r="O38" s="86">
        <f t="shared" si="2"/>
        <v>6.9657041384902196E-2</v>
      </c>
      <c r="P38" s="684">
        <f>('CBS (Total)'!P36*'Performance &amp; Economics'!$G$143)/'CBS (CoE)'!P$2/10</f>
        <v>1.7225163675427584</v>
      </c>
      <c r="Q38" s="92">
        <f t="shared" si="3"/>
        <v>6.7815841835196275E-2</v>
      </c>
    </row>
    <row r="39" spans="1:18" s="58" customFormat="1" outlineLevel="1" x14ac:dyDescent="0.35">
      <c r="A39" s="408" t="s">
        <v>62</v>
      </c>
      <c r="B39" s="516"/>
      <c r="C39" s="516"/>
      <c r="D39" s="516" t="s">
        <v>45</v>
      </c>
      <c r="E39" s="516"/>
      <c r="F39" s="516"/>
      <c r="G39" s="516"/>
      <c r="H39" s="516"/>
      <c r="I39" s="76"/>
      <c r="J39" s="685">
        <f>('CBS (Total)'!J37*'Performance &amp; Economics'!$G$143)/'CBS (CoE)'!J$2/10</f>
        <v>0.13535503434419024</v>
      </c>
      <c r="K39" s="677">
        <f t="shared" si="0"/>
        <v>1.3907195780806594E-3</v>
      </c>
      <c r="L39" s="685">
        <f>('CBS (Total)'!L37*'Performance &amp; Economics'!$G$143)/'CBS (CoE)'!L$2/10</f>
        <v>0.13535503434419024</v>
      </c>
      <c r="M39" s="677">
        <f t="shared" si="1"/>
        <v>3.3177165179600525E-3</v>
      </c>
      <c r="N39" s="685">
        <f>('CBS (Total)'!N37*'Performance &amp; Economics'!$G$143)/'CBS (CoE)'!N$2/10</f>
        <v>0.13535503434419024</v>
      </c>
      <c r="O39" s="677">
        <f t="shared" si="2"/>
        <v>4.8123061851826675E-3</v>
      </c>
      <c r="P39" s="685">
        <f>('CBS (Total)'!P37*'Performance &amp; Economics'!$G$143)/'CBS (CoE)'!P$2/10</f>
        <v>0.13535503434419024</v>
      </c>
      <c r="Q39" s="678">
        <f t="shared" si="3"/>
        <v>5.3289569687965874E-3</v>
      </c>
    </row>
    <row r="40" spans="1:18" s="58" customFormat="1" outlineLevel="1" x14ac:dyDescent="0.35">
      <c r="A40" s="408" t="s">
        <v>63</v>
      </c>
      <c r="B40" s="516"/>
      <c r="C40" s="516"/>
      <c r="D40" s="516" t="s">
        <v>46</v>
      </c>
      <c r="E40" s="516"/>
      <c r="F40" s="516"/>
      <c r="G40" s="516"/>
      <c r="H40" s="516"/>
      <c r="I40" s="76"/>
      <c r="J40" s="685">
        <f>('CBS (Total)'!J38*'Performance &amp; Economics'!$G$143)/'CBS (CoE)'!J$2/10</f>
        <v>3.0346826187420133</v>
      </c>
      <c r="K40" s="677">
        <f t="shared" si="0"/>
        <v>3.1180166674951253E-2</v>
      </c>
      <c r="L40" s="685">
        <f>('CBS (Total)'!L38*'Performance &amp; Economics'!$G$143)/'CBS (CoE)'!L$2/10</f>
        <v>0.34905674739113535</v>
      </c>
      <c r="M40" s="677">
        <f t="shared" si="1"/>
        <v>8.5558054204334551E-3</v>
      </c>
      <c r="N40" s="685">
        <f>('CBS (Total)'!N38*'Performance &amp; Economics'!$G$143)/'CBS (CoE)'!N$2/10</f>
        <v>6.9811349478227078E-2</v>
      </c>
      <c r="O40" s="677">
        <f t="shared" si="2"/>
        <v>2.4820176842165671E-3</v>
      </c>
      <c r="P40" s="685">
        <f>('CBS (Total)'!P38*'Performance &amp; Economics'!$G$143)/'CBS (CoE)'!P$2/10</f>
        <v>6.979315048201272E-2</v>
      </c>
      <c r="Q40" s="678">
        <f t="shared" si="3"/>
        <v>2.7477714252551141E-3</v>
      </c>
    </row>
    <row r="41" spans="1:18" s="58" customFormat="1" outlineLevel="1" x14ac:dyDescent="0.35">
      <c r="A41" s="408" t="s">
        <v>64</v>
      </c>
      <c r="B41" s="516"/>
      <c r="C41" s="516"/>
      <c r="D41" s="516" t="s">
        <v>60</v>
      </c>
      <c r="E41" s="516"/>
      <c r="F41" s="516"/>
      <c r="G41" s="516"/>
      <c r="H41" s="516"/>
      <c r="I41" s="76"/>
      <c r="J41" s="685">
        <f>('CBS (Total)'!J39*'Performance &amp; Economics'!$G$143)/'CBS (CoE)'!J$2/10</f>
        <v>14.531141171424441</v>
      </c>
      <c r="K41" s="677">
        <f t="shared" si="0"/>
        <v>0.14930174276019681</v>
      </c>
      <c r="L41" s="685">
        <f>('CBS (Total)'!L39*'Performance &amp; Economics'!$G$143)/'CBS (CoE)'!L$2/10</f>
        <v>1.7764761592810892</v>
      </c>
      <c r="M41" s="677">
        <f t="shared" si="1"/>
        <v>4.3543591311290451E-2</v>
      </c>
      <c r="N41" s="685">
        <f>('CBS (Total)'!N39*'Performance &amp; Economics'!$G$143)/'CBS (CoE)'!N$2/10</f>
        <v>0.64278497726529349</v>
      </c>
      <c r="O41" s="677">
        <f t="shared" si="2"/>
        <v>2.285307034809262E-2</v>
      </c>
      <c r="P41" s="685">
        <f>('CBS (Total)'!P39*'Performance &amp; Economics'!$G$143)/'CBS (CoE)'!P$2/10</f>
        <v>0.50107357951331899</v>
      </c>
      <c r="Q41" s="678">
        <f t="shared" si="3"/>
        <v>1.9727375168310194E-2</v>
      </c>
    </row>
    <row r="42" spans="1:18" s="58" customFormat="1" outlineLevel="1" x14ac:dyDescent="0.35">
      <c r="A42" s="408" t="s">
        <v>65</v>
      </c>
      <c r="B42" s="516"/>
      <c r="C42" s="516"/>
      <c r="D42" s="516" t="s">
        <v>234</v>
      </c>
      <c r="E42" s="516"/>
      <c r="F42" s="516"/>
      <c r="G42" s="516"/>
      <c r="H42" s="516"/>
      <c r="I42" s="76"/>
      <c r="J42" s="685">
        <f>('CBS (Total)'!J40*'Performance &amp; Economics'!$G$143)/'CBS (CoE)'!J$2/10</f>
        <v>6.8589003888042681</v>
      </c>
      <c r="K42" s="677">
        <f t="shared" si="0"/>
        <v>7.0472495545006453E-2</v>
      </c>
      <c r="L42" s="685">
        <f>('CBS (Total)'!L40*'Performance &amp; Economics'!$G$143)/'CBS (CoE)'!L$2/10</f>
        <v>1.0374176730870819</v>
      </c>
      <c r="M42" s="677">
        <f t="shared" si="1"/>
        <v>2.5428368931387488E-2</v>
      </c>
      <c r="N42" s="685">
        <f>('CBS (Total)'!N40*'Performance &amp; Economics'!$G$143)/'CBS (CoE)'!N$2/10</f>
        <v>0.40982452427755661</v>
      </c>
      <c r="O42" s="677">
        <f t="shared" si="2"/>
        <v>1.4570578054787229E-2</v>
      </c>
      <c r="P42" s="685">
        <f>('CBS (Total)'!P40*'Performance &amp; Economics'!$G$143)/'CBS (CoE)'!P$2/10</f>
        <v>0.33137538067636596</v>
      </c>
      <c r="Q42" s="678">
        <f t="shared" si="3"/>
        <v>1.3046320387703689E-2</v>
      </c>
    </row>
    <row r="43" spans="1:18" s="58" customFormat="1" outlineLevel="1" x14ac:dyDescent="0.35">
      <c r="A43" s="408" t="s">
        <v>66</v>
      </c>
      <c r="B43" s="516"/>
      <c r="C43" s="516"/>
      <c r="D43" s="516" t="s">
        <v>47</v>
      </c>
      <c r="E43" s="516"/>
      <c r="F43" s="516"/>
      <c r="G43" s="516"/>
      <c r="H43" s="516"/>
      <c r="I43" s="76"/>
      <c r="J43" s="685">
        <f>('CBS (Total)'!J41*'Performance &amp; Economics'!$G$143)/'CBS (CoE)'!J$2/10</f>
        <v>1.161107332847839</v>
      </c>
      <c r="K43" s="677">
        <f t="shared" si="0"/>
        <v>1.1929919768911914E-2</v>
      </c>
      <c r="L43" s="685">
        <f>('CBS (Total)'!L41*'Performance &amp; Economics'!$G$143)/'CBS (CoE)'!L$2/10</f>
        <v>0.41688213140747193</v>
      </c>
      <c r="M43" s="677">
        <f t="shared" si="1"/>
        <v>1.021828807560957E-2</v>
      </c>
      <c r="N43" s="685">
        <f>('CBS (Total)'!N41*'Performance &amp; Economics'!$G$143)/'CBS (CoE)'!N$2/10</f>
        <v>0.35072878016832826</v>
      </c>
      <c r="O43" s="677">
        <f t="shared" si="2"/>
        <v>1.246953455631156E-2</v>
      </c>
      <c r="P43" s="685">
        <f>('CBS (Total)'!P41*'Performance &amp; Economics'!$G$143)/'CBS (CoE)'!P$2/10</f>
        <v>0.34245961126343533</v>
      </c>
      <c r="Q43" s="678">
        <f t="shared" si="3"/>
        <v>1.348270894256535E-2</v>
      </c>
    </row>
    <row r="44" spans="1:18" s="79" customFormat="1" x14ac:dyDescent="0.35">
      <c r="A44" s="408" t="s">
        <v>67</v>
      </c>
      <c r="B44" s="516"/>
      <c r="C44" s="516"/>
      <c r="D44" s="516" t="s">
        <v>48</v>
      </c>
      <c r="E44" s="516"/>
      <c r="F44" s="516"/>
      <c r="G44" s="516"/>
      <c r="H44" s="516"/>
      <c r="J44" s="685">
        <f>('CBS (Total)'!J42*'Performance &amp; Economics'!$G$143)/'CBS (CoE)'!J$2/10</f>
        <v>1.161107332847839</v>
      </c>
      <c r="K44" s="677">
        <f t="shared" si="0"/>
        <v>1.1929919768911914E-2</v>
      </c>
      <c r="L44" s="685">
        <f>('CBS (Total)'!L42*'Performance &amp; Economics'!$G$143)/'CBS (CoE)'!L$2/10</f>
        <v>0.41688213140747193</v>
      </c>
      <c r="M44" s="677">
        <f t="shared" si="1"/>
        <v>1.021828807560957E-2</v>
      </c>
      <c r="N44" s="685">
        <f>('CBS (Total)'!N42*'Performance &amp; Economics'!$G$143)/'CBS (CoE)'!N$2/10</f>
        <v>0.35072878016832826</v>
      </c>
      <c r="O44" s="677">
        <f t="shared" si="2"/>
        <v>1.246953455631156E-2</v>
      </c>
      <c r="P44" s="685">
        <f>('CBS (Total)'!P42*'Performance &amp; Economics'!$G$143)/'CBS (CoE)'!P$2/10</f>
        <v>0.34245961126343533</v>
      </c>
      <c r="Q44" s="678">
        <f t="shared" si="3"/>
        <v>1.348270894256535E-2</v>
      </c>
    </row>
    <row r="45" spans="1:18" s="79" customFormat="1" x14ac:dyDescent="0.35">
      <c r="A45" s="94">
        <v>1.8</v>
      </c>
      <c r="C45" s="79" t="s">
        <v>127</v>
      </c>
      <c r="J45" s="684">
        <v>0</v>
      </c>
      <c r="K45" s="86">
        <f t="shared" si="0"/>
        <v>0</v>
      </c>
      <c r="L45" s="684">
        <v>0</v>
      </c>
      <c r="M45" s="86">
        <f t="shared" si="1"/>
        <v>0</v>
      </c>
      <c r="N45" s="684">
        <v>0</v>
      </c>
      <c r="O45" s="86">
        <f t="shared" si="2"/>
        <v>0</v>
      </c>
      <c r="P45" s="684">
        <v>0</v>
      </c>
      <c r="Q45" s="92">
        <f t="shared" si="3"/>
        <v>0</v>
      </c>
    </row>
    <row r="46" spans="1:18" s="457" customFormat="1" outlineLevel="1" x14ac:dyDescent="0.35">
      <c r="A46" s="687">
        <v>1.9</v>
      </c>
      <c r="B46" s="79"/>
      <c r="C46" s="79" t="s">
        <v>125</v>
      </c>
      <c r="D46" s="79"/>
      <c r="E46" s="79"/>
      <c r="F46" s="79"/>
      <c r="G46" s="79"/>
      <c r="H46" s="79"/>
      <c r="I46" s="79"/>
      <c r="J46" s="684">
        <f>('CBS (Total)'!J44*'Performance &amp; Economics'!$G$143)/'CBS (CoE)'!J$2/10</f>
        <v>8.8479398119794403</v>
      </c>
      <c r="K46" s="662">
        <f t="shared" si="0"/>
        <v>9.0909090909090925E-2</v>
      </c>
      <c r="L46" s="684">
        <f>('CBS (Total)'!L44*'Performance &amp; Economics'!$G$143)/'CBS (CoE)'!L$2/10</f>
        <v>3.7088771917635177</v>
      </c>
      <c r="M46" s="662">
        <f t="shared" si="1"/>
        <v>9.0909090909090939E-2</v>
      </c>
      <c r="N46" s="684">
        <f>('CBS (Total)'!N44*'Performance &amp; Economics'!$G$143)/'CBS (CoE)'!N$2/10</f>
        <v>2.5569867437127831</v>
      </c>
      <c r="O46" s="662">
        <f t="shared" si="2"/>
        <v>9.0909090909090925E-2</v>
      </c>
      <c r="P46" s="684">
        <f>('CBS (Total)'!P44*'Performance &amp; Economics'!$G$143)/'CBS (CoE)'!P$2/10</f>
        <v>2.3090828457145336</v>
      </c>
      <c r="Q46" s="665">
        <f t="shared" si="3"/>
        <v>9.0909090909090939E-2</v>
      </c>
      <c r="R46" s="79"/>
    </row>
    <row r="47" spans="1:18" outlineLevel="1" x14ac:dyDescent="0.35">
      <c r="A47" s="408"/>
      <c r="B47" s="516"/>
      <c r="C47" s="516"/>
      <c r="D47" s="516"/>
      <c r="E47" s="516"/>
      <c r="F47" s="516"/>
      <c r="G47" s="516"/>
      <c r="H47" s="516"/>
      <c r="I47" s="79"/>
      <c r="J47" s="161"/>
      <c r="K47" s="86"/>
      <c r="L47" s="161"/>
      <c r="M47" s="86"/>
      <c r="N47" s="161"/>
      <c r="O47" s="86"/>
      <c r="P47" s="161"/>
      <c r="Q47" s="92"/>
      <c r="R47" s="457"/>
    </row>
    <row r="48" spans="1:18" outlineLevel="1" x14ac:dyDescent="0.35">
      <c r="A48" s="683" t="s">
        <v>440</v>
      </c>
      <c r="B48" s="154"/>
      <c r="C48" s="154"/>
      <c r="D48" s="154"/>
      <c r="E48" s="154"/>
      <c r="F48" s="154"/>
      <c r="G48" s="154"/>
      <c r="H48" s="154"/>
      <c r="I48" s="653">
        <f>I29+I26</f>
        <v>475</v>
      </c>
      <c r="J48" s="164">
        <f>('CBS (Total)'!J46*'Performance &amp; Economics'!$G$143)/'CBS (CoE)'!J$2/10</f>
        <v>97.327337931773826</v>
      </c>
      <c r="K48" s="158">
        <f t="shared" ref="K48" si="4">J48/$J$48</f>
        <v>1</v>
      </c>
      <c r="L48" s="164">
        <f>('CBS (Total)'!L46*'Performance &amp; Economics'!$G$143)/'CBS (CoE)'!L$2/10</f>
        <v>40.797649109398684</v>
      </c>
      <c r="M48" s="158">
        <f t="shared" ref="M48" si="5">L48/$L$48</f>
        <v>1</v>
      </c>
      <c r="N48" s="164">
        <f>('CBS (Total)'!N46*'Performance &amp; Economics'!$G$143)/'CBS (CoE)'!N$2/10</f>
        <v>28.12685418084061</v>
      </c>
      <c r="O48" s="158">
        <f t="shared" ref="O48" si="6">N48/$N$48</f>
        <v>1</v>
      </c>
      <c r="P48" s="164">
        <f>('CBS (Total)'!P46*'Performance &amp; Economics'!$G$143)/'CBS (CoE)'!P$2/10</f>
        <v>25.399911302859859</v>
      </c>
      <c r="Q48" s="159">
        <f t="shared" ref="Q48" si="7">P48/$P$48</f>
        <v>1</v>
      </c>
    </row>
    <row r="49" spans="1:18" s="57" customFormat="1" x14ac:dyDescent="0.35">
      <c r="I49" s="59"/>
      <c r="J49" s="161"/>
      <c r="K49" s="84"/>
      <c r="L49" s="161"/>
      <c r="M49" s="84"/>
      <c r="N49" s="161"/>
      <c r="O49" s="84"/>
      <c r="P49" s="161"/>
      <c r="Q49" s="59"/>
      <c r="R49" s="69"/>
    </row>
    <row r="50" spans="1:18" s="58" customFormat="1" outlineLevel="1" x14ac:dyDescent="0.35">
      <c r="A50" s="70">
        <v>2</v>
      </c>
      <c r="B50" s="57" t="s">
        <v>55</v>
      </c>
      <c r="C50" s="57"/>
      <c r="D50" s="57"/>
      <c r="E50" s="57"/>
      <c r="F50" s="57"/>
      <c r="G50" s="57"/>
      <c r="H50" s="57"/>
      <c r="I50" s="79"/>
      <c r="J50" s="161">
        <f>('CBS (Total)'!J48)/'CBS (CoE)'!J$2/10</f>
        <v>54.925262049685976</v>
      </c>
      <c r="K50" s="92">
        <f>J50/$J$48</f>
        <v>0.56433539863371607</v>
      </c>
      <c r="L50" s="161">
        <f>('CBS (Total)'!L48)/'CBS (CoE)'!L$2/10</f>
        <v>18.657191022992972</v>
      </c>
      <c r="M50" s="92">
        <f>L50/$L$48</f>
        <v>0.45731044386807218</v>
      </c>
      <c r="N50" s="161">
        <f>('CBS (Total)'!N48)/'CBS (CoE)'!N$2/10</f>
        <v>8.8670049701024229</v>
      </c>
      <c r="O50" s="92">
        <f>N50/$N$48</f>
        <v>0.31525050448558267</v>
      </c>
      <c r="P50" s="161">
        <f>('CBS (Total)'!P48)/'CBS (CoE)'!P$2/10</f>
        <v>5.9994633185619559</v>
      </c>
      <c r="Q50" s="92">
        <f>P50/$P$48</f>
        <v>0.23620016806462063</v>
      </c>
      <c r="R50" s="57"/>
    </row>
    <row r="51" spans="1:18" s="58" customFormat="1" outlineLevel="1" x14ac:dyDescent="0.35">
      <c r="A51" s="81">
        <v>2.1</v>
      </c>
      <c r="C51" s="58" t="s">
        <v>49</v>
      </c>
      <c r="I51" s="76"/>
      <c r="J51" s="162">
        <f>('CBS (Total)'!J49)/'CBS (CoE)'!J$2/10</f>
        <v>12.406136945592243</v>
      </c>
      <c r="K51" s="91">
        <f t="shared" ref="K51:K56" si="8">J51/$J$48</f>
        <v>0.12746816268918099</v>
      </c>
      <c r="L51" s="162">
        <f>('CBS (Total)'!L49)/'CBS (CoE)'!L$2/10</f>
        <v>6.0654811478673523</v>
      </c>
      <c r="M51" s="91">
        <f t="shared" ref="M51:M56" si="9">L51/$L$48</f>
        <v>0.14867232010361175</v>
      </c>
      <c r="N51" s="162">
        <f>('CBS (Total)'!N49)/'CBS (CoE)'!N$2/10</f>
        <v>2.2595539011648578</v>
      </c>
      <c r="O51" s="91">
        <f t="shared" ref="O51:O56" si="10">N51/$N$48</f>
        <v>8.0334398103575191E-2</v>
      </c>
      <c r="P51" s="162">
        <f>('CBS (Total)'!P49)/'CBS (CoE)'!P$2/10</f>
        <v>1.0430346627691349</v>
      </c>
      <c r="Q51" s="91">
        <f t="shared" ref="Q51:Q56" si="11">P51/$P$48</f>
        <v>4.1064500199719051E-2</v>
      </c>
    </row>
    <row r="52" spans="1:18" s="58" customFormat="1" outlineLevel="1" x14ac:dyDescent="0.35">
      <c r="A52" s="81">
        <v>2.2000000000000002</v>
      </c>
      <c r="C52" s="58" t="s">
        <v>50</v>
      </c>
      <c r="I52" s="76"/>
      <c r="J52" s="162">
        <f>('CBS (Total)'!J50)/'CBS (CoE)'!J$2/10</f>
        <v>29.91038729672427</v>
      </c>
      <c r="K52" s="91">
        <f t="shared" si="8"/>
        <v>0.30731742932999323</v>
      </c>
      <c r="L52" s="162">
        <f>('CBS (Total)'!L50)/'CBS (CoE)'!L$2/10</f>
        <v>4.7224710083982959</v>
      </c>
      <c r="M52" s="91">
        <f t="shared" si="9"/>
        <v>0.11575350814295732</v>
      </c>
      <c r="N52" s="162">
        <f>('CBS (Total)'!N50)/'CBS (CoE)'!N$2/10</f>
        <v>0.94449420167965936</v>
      </c>
      <c r="O52" s="91">
        <f t="shared" si="10"/>
        <v>3.357980226324165E-2</v>
      </c>
      <c r="P52" s="162">
        <f>('CBS (Total)'!P50)/'CBS (CoE)'!P$2/10</f>
        <v>0.47224710083982968</v>
      </c>
      <c r="Q52" s="91">
        <f t="shared" si="11"/>
        <v>1.8592470470031045E-2</v>
      </c>
      <c r="R52" s="84"/>
    </row>
    <row r="53" spans="1:18" s="58" customFormat="1" outlineLevel="1" x14ac:dyDescent="0.35">
      <c r="A53" s="81">
        <v>2.2999999999999998</v>
      </c>
      <c r="C53" s="58" t="s">
        <v>51</v>
      </c>
      <c r="I53" s="76"/>
      <c r="J53" s="162">
        <f>('CBS (Total)'!J51)/'CBS (CoE)'!J$2/10</f>
        <v>1.0491805572181943</v>
      </c>
      <c r="K53" s="91">
        <f t="shared" si="8"/>
        <v>1.0779916306286592E-2</v>
      </c>
      <c r="L53" s="162">
        <f>('CBS (Total)'!L51)/'CBS (CoE)'!L$2/10</f>
        <v>1.0491805572181943</v>
      </c>
      <c r="M53" s="91">
        <f t="shared" si="9"/>
        <v>2.5716691528103054E-2</v>
      </c>
      <c r="N53" s="162">
        <f>('CBS (Total)'!N51)/'CBS (CoE)'!N$2/10</f>
        <v>0.44267373199151921</v>
      </c>
      <c r="O53" s="91">
        <f t="shared" si="10"/>
        <v>1.5738472889480073E-2</v>
      </c>
      <c r="P53" s="162">
        <f>('CBS (Total)'!P51)/'CBS (CoE)'!P$2/10</f>
        <v>0.44267373199151921</v>
      </c>
      <c r="Q53" s="91">
        <f t="shared" si="11"/>
        <v>1.7428160544075488E-2</v>
      </c>
      <c r="R53" s="151"/>
    </row>
    <row r="54" spans="1:18" s="58" customFormat="1" outlineLevel="1" x14ac:dyDescent="0.35">
      <c r="A54" s="81">
        <v>2.4</v>
      </c>
      <c r="C54" s="58" t="s">
        <v>52</v>
      </c>
      <c r="I54" s="76"/>
      <c r="J54" s="162">
        <f>('CBS (Total)'!J52)/'CBS (CoE)'!J$2/10</f>
        <v>5.9635835719881474</v>
      </c>
      <c r="K54" s="91">
        <f t="shared" si="8"/>
        <v>6.1273468469553762E-2</v>
      </c>
      <c r="L54" s="162">
        <f>('CBS (Total)'!L52)/'CBS (CoE)'!L$2/10</f>
        <v>1.684822627310242</v>
      </c>
      <c r="M54" s="91">
        <f t="shared" si="9"/>
        <v>4.1297051768654586E-2</v>
      </c>
      <c r="N54" s="162">
        <f>('CBS (Total)'!N52)/'CBS (CoE)'!N$2/10</f>
        <v>0.38309898086541272</v>
      </c>
      <c r="O54" s="91">
        <f t="shared" si="10"/>
        <v>1.3620399153147075E-2</v>
      </c>
      <c r="P54" s="162">
        <f>('CBS (Total)'!P52)/'CBS (CoE)'!P$2/10</f>
        <v>0.28420512990898988</v>
      </c>
      <c r="Q54" s="91">
        <f t="shared" si="11"/>
        <v>1.1189217415770673E-2</v>
      </c>
    </row>
    <row r="55" spans="1:18" s="58" customFormat="1" outlineLevel="1" x14ac:dyDescent="0.35">
      <c r="A55" s="163">
        <v>2.5</v>
      </c>
      <c r="C55" s="58" t="s">
        <v>53</v>
      </c>
      <c r="I55" s="76"/>
      <c r="J55" s="162">
        <f>('CBS (Total)'!J53)/'CBS (CoE)'!J$2/10</f>
        <v>5.3010825358010552</v>
      </c>
      <c r="K55" s="91">
        <f t="shared" si="8"/>
        <v>5.4466531690377663E-2</v>
      </c>
      <c r="L55" s="162">
        <f>('CBS (Total)'!L53)/'CBS (CoE)'!L$2/10</f>
        <v>4.8403445398368206</v>
      </c>
      <c r="M55" s="91">
        <f>L55/$L$48</f>
        <v>0.11864273176274108</v>
      </c>
      <c r="N55" s="162">
        <f>('CBS (Total)'!N53)/'CBS (CoE)'!N$2/10</f>
        <v>4.542293012038904</v>
      </c>
      <c r="O55" s="91">
        <f t="shared" si="10"/>
        <v>0.16149310487530502</v>
      </c>
      <c r="P55" s="162">
        <f>('CBS (Total)'!P53)/'CBS (CoE)'!P$2/10</f>
        <v>3.4624115506904127</v>
      </c>
      <c r="Q55" s="91">
        <f t="shared" si="11"/>
        <v>0.13631589139843053</v>
      </c>
    </row>
    <row r="56" spans="1:18" x14ac:dyDescent="0.35">
      <c r="A56" s="81">
        <v>2.6</v>
      </c>
      <c r="B56" s="58"/>
      <c r="C56" s="58" t="s">
        <v>54</v>
      </c>
      <c r="D56" s="58"/>
      <c r="E56" s="58"/>
      <c r="F56" s="58"/>
      <c r="G56" s="58"/>
      <c r="H56" s="58"/>
      <c r="I56" s="76"/>
      <c r="J56" s="162">
        <f>('CBS (Total)'!J54)/'CBS (CoE)'!J$2/10</f>
        <v>0.29489114236207026</v>
      </c>
      <c r="K56" s="91">
        <f t="shared" si="8"/>
        <v>3.0298901483238765E-3</v>
      </c>
      <c r="L56" s="162">
        <f>('CBS (Total)'!L54)/'CBS (CoE)'!L$2/10</f>
        <v>0.29489114236207026</v>
      </c>
      <c r="M56" s="91">
        <f t="shared" si="9"/>
        <v>7.2281405620044726E-3</v>
      </c>
      <c r="N56" s="162">
        <f>('CBS (Total)'!N54)/'CBS (CoE)'!N$2/10</f>
        <v>0.29489114236207026</v>
      </c>
      <c r="O56" s="91">
        <f t="shared" si="10"/>
        <v>1.0484327200833699E-2</v>
      </c>
      <c r="P56" s="162">
        <f>('CBS (Total)'!P54)/'CBS (CoE)'!P$2/10</f>
        <v>0.29489114236207026</v>
      </c>
      <c r="Q56" s="91">
        <f t="shared" si="11"/>
        <v>1.1609928036593872E-2</v>
      </c>
      <c r="R56" s="58"/>
    </row>
    <row r="57" spans="1:18" s="57" customFormat="1" x14ac:dyDescent="0.35">
      <c r="A57" s="37"/>
      <c r="B57" s="69"/>
      <c r="C57" s="69"/>
      <c r="D57" s="69"/>
      <c r="E57" s="69"/>
      <c r="F57" s="69"/>
      <c r="G57" s="69"/>
      <c r="H57" s="69"/>
      <c r="I57" s="59"/>
      <c r="J57" s="161"/>
      <c r="K57" s="76"/>
      <c r="L57" s="161"/>
      <c r="M57" s="76"/>
      <c r="N57" s="161"/>
      <c r="O57" s="76"/>
      <c r="P57" s="161"/>
      <c r="Q57" s="59"/>
      <c r="R57" s="69"/>
    </row>
    <row r="58" spans="1:18" x14ac:dyDescent="0.35">
      <c r="A58" s="153" t="s">
        <v>191</v>
      </c>
      <c r="B58" s="154"/>
      <c r="C58" s="154"/>
      <c r="D58" s="154"/>
      <c r="E58" s="154"/>
      <c r="F58" s="154"/>
      <c r="G58" s="154"/>
      <c r="H58" s="154"/>
      <c r="I58" s="154"/>
      <c r="J58" s="164">
        <f>('CBS (Total)'!J56)/'CBS (CoE)'!J$2/10</f>
        <v>54.925262049685976</v>
      </c>
      <c r="K58" s="156">
        <f t="shared" ref="K58:Q58" si="12">SUM(K51:K56)</f>
        <v>0.56433539863371607</v>
      </c>
      <c r="L58" s="164">
        <f>('CBS (Total)'!L56)/'CBS (CoE)'!L$2/10</f>
        <v>18.657191022992972</v>
      </c>
      <c r="M58" s="156">
        <f t="shared" si="12"/>
        <v>0.45731044386807229</v>
      </c>
      <c r="N58" s="164">
        <f>('CBS (Total)'!N56)/'CBS (CoE)'!N$2/10</f>
        <v>8.8670049701024229</v>
      </c>
      <c r="O58" s="156">
        <f t="shared" si="12"/>
        <v>0.31525050448558273</v>
      </c>
      <c r="P58" s="164">
        <f>('CBS (Total)'!P56)/'CBS (CoE)'!P$2/10</f>
        <v>5.9994633185619559</v>
      </c>
      <c r="Q58" s="156">
        <f t="shared" si="12"/>
        <v>0.23620016806462069</v>
      </c>
      <c r="R58" s="57"/>
    </row>
    <row r="59" spans="1:18" x14ac:dyDescent="0.35">
      <c r="J59" s="4"/>
      <c r="K59" s="84"/>
      <c r="L59" s="4"/>
      <c r="M59" s="84"/>
      <c r="N59" s="4"/>
      <c r="O59" s="84"/>
      <c r="P59" s="4"/>
    </row>
    <row r="60" spans="1:18" x14ac:dyDescent="0.35">
      <c r="A60" s="683" t="s">
        <v>72</v>
      </c>
      <c r="B60" s="154"/>
      <c r="C60" s="154"/>
      <c r="D60" s="154"/>
      <c r="E60" s="154"/>
      <c r="F60" s="154"/>
      <c r="G60" s="154"/>
      <c r="H60" s="154"/>
      <c r="I60" s="154"/>
      <c r="J60" s="763">
        <f>J58+J48</f>
        <v>152.25259998145981</v>
      </c>
      <c r="K60" s="764"/>
      <c r="L60" s="763">
        <f>L58+L48</f>
        <v>59.454840132391652</v>
      </c>
      <c r="M60" s="764"/>
      <c r="N60" s="763">
        <f>N58+N48</f>
        <v>36.993859150943031</v>
      </c>
      <c r="O60" s="764"/>
      <c r="P60" s="763">
        <f>P58+P48</f>
        <v>31.399374621421813</v>
      </c>
      <c r="Q60" s="154"/>
    </row>
  </sheetData>
  <mergeCells count="1">
    <mergeCell ref="J3:P3"/>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80" zoomScaleNormal="80" workbookViewId="0">
      <pane xSplit="8" ySplit="4" topLeftCell="I5" activePane="bottomRight" state="frozen"/>
      <selection activeCell="A3" sqref="A3"/>
      <selection pane="topRight" activeCell="I3" sqref="I3"/>
      <selection pane="bottomLeft" activeCell="A5" sqref="A5"/>
      <selection pane="bottomRight" activeCell="I27" sqref="I27"/>
    </sheetView>
  </sheetViews>
  <sheetFormatPr defaultColWidth="9.08984375" defaultRowHeight="14.5" outlineLevelRow="2" x14ac:dyDescent="0.35"/>
  <cols>
    <col min="1" max="1" width="8.453125" style="37" customWidth="1"/>
    <col min="2" max="2" width="3.90625" style="69" customWidth="1"/>
    <col min="3" max="4" width="4.08984375" style="69" customWidth="1"/>
    <col min="5" max="7" width="9.08984375" style="69"/>
    <col min="8" max="9" width="20.36328125" style="69" customWidth="1"/>
    <col min="10" max="10" width="19.54296875" style="69" bestFit="1" customWidth="1"/>
    <col min="11" max="11" width="10.08984375" style="58" customWidth="1"/>
    <col min="12" max="12" width="20.453125" style="69" bestFit="1" customWidth="1"/>
    <col min="13" max="13" width="10.08984375" style="58" customWidth="1"/>
    <col min="14" max="14" width="22.6328125" style="69" bestFit="1" customWidth="1"/>
    <col min="15" max="15" width="11.54296875" style="58" customWidth="1"/>
    <col min="16" max="16" width="20.90625" style="69" customWidth="1"/>
    <col min="17" max="17" width="11" style="69" customWidth="1"/>
    <col min="18" max="18" width="17.08984375" style="69" bestFit="1" customWidth="1"/>
    <col min="19" max="19" width="16.90625" style="69" bestFit="1" customWidth="1"/>
    <col min="20" max="22" width="13.36328125" style="69" bestFit="1" customWidth="1"/>
    <col min="23" max="16384" width="9.08984375" style="69"/>
  </cols>
  <sheetData>
    <row r="1" spans="1:19" ht="23.25" customHeight="1" x14ac:dyDescent="0.35">
      <c r="A1" s="37" t="s">
        <v>192</v>
      </c>
      <c r="J1" s="489">
        <f>'CBS (Total)'!J2*'Performance &amp; Economics'!$S$15</f>
        <v>980</v>
      </c>
      <c r="K1" s="489"/>
      <c r="L1" s="489">
        <f>'CBS (Total)'!L2*'Performance &amp; Economics'!$S$15</f>
        <v>9800</v>
      </c>
      <c r="M1" s="489"/>
      <c r="N1" s="489">
        <f>'CBS (Total)'!N2*'Performance &amp; Economics'!$S$15</f>
        <v>49000</v>
      </c>
      <c r="O1" s="489"/>
      <c r="P1" s="489">
        <f>'CBS (Total)'!P2*'Performance &amp; Economics'!$S$15</f>
        <v>98000</v>
      </c>
    </row>
    <row r="2" spans="1:19" ht="29.25" customHeight="1" x14ac:dyDescent="0.35"/>
    <row r="3" spans="1:19" ht="20.25" customHeight="1" x14ac:dyDescent="0.35">
      <c r="A3" s="3" t="s">
        <v>252</v>
      </c>
      <c r="I3" s="57"/>
      <c r="J3" s="797" t="s">
        <v>59</v>
      </c>
      <c r="K3" s="797"/>
      <c r="L3" s="797"/>
      <c r="M3" s="797"/>
      <c r="N3" s="797"/>
      <c r="O3" s="797"/>
      <c r="P3" s="797"/>
      <c r="Q3" s="57"/>
    </row>
    <row r="4" spans="1:19" ht="22.5" customHeight="1" x14ac:dyDescent="0.35">
      <c r="I4" s="57" t="s">
        <v>99</v>
      </c>
      <c r="J4" s="57">
        <v>1</v>
      </c>
      <c r="K4" s="97" t="s">
        <v>128</v>
      </c>
      <c r="L4" s="57">
        <v>10</v>
      </c>
      <c r="M4" s="97" t="s">
        <v>128</v>
      </c>
      <c r="N4" s="57">
        <v>50</v>
      </c>
      <c r="O4" s="97" t="s">
        <v>129</v>
      </c>
      <c r="P4" s="57">
        <v>100</v>
      </c>
      <c r="Q4" s="97" t="s">
        <v>129</v>
      </c>
      <c r="R4" s="57"/>
      <c r="S4" s="70"/>
    </row>
    <row r="5" spans="1:19" x14ac:dyDescent="0.35">
      <c r="A5" s="70">
        <v>1</v>
      </c>
      <c r="B5" s="57" t="s">
        <v>0</v>
      </c>
      <c r="J5" s="62"/>
      <c r="K5" s="89"/>
      <c r="L5" s="62"/>
      <c r="M5" s="89"/>
      <c r="N5" s="62"/>
      <c r="O5" s="89"/>
      <c r="P5" s="62"/>
    </row>
    <row r="6" spans="1:19" s="57" customFormat="1" x14ac:dyDescent="0.35">
      <c r="A6" s="70">
        <v>1.1000000000000001</v>
      </c>
      <c r="C6" s="57" t="s">
        <v>88</v>
      </c>
      <c r="J6" s="149">
        <f>'CBS (Total)'!J4/'CBS ($ per kW)'!J$1</f>
        <v>4818.8929607142854</v>
      </c>
      <c r="K6" s="86">
        <f t="shared" ref="K6:K46" si="0">J6/$J$48</f>
        <v>0.22076283056933182</v>
      </c>
      <c r="L6" s="149">
        <f>'CBS (Total)'!L4/'CBS ($ per kW)'!L$1</f>
        <v>972.28365786648112</v>
      </c>
      <c r="M6" s="86">
        <f t="shared" ref="M6:M46" si="1">L6/$L$48</f>
        <v>0.10626038053140571</v>
      </c>
      <c r="N6" s="149">
        <f>'CBS (Total)'!N4/'CBS ($ per kW)'!N$1</f>
        <v>261.6617300647431</v>
      </c>
      <c r="O6" s="86">
        <f t="shared" ref="O6:O46" si="2">N6/$N$48</f>
        <v>4.1479409572297066E-2</v>
      </c>
      <c r="P6" s="756">
        <f>'CBS (Total)'!P4/'CBS ($ per kW)'!P$1</f>
        <v>125.88264169848672</v>
      </c>
      <c r="Q6" s="92">
        <f t="shared" ref="Q6:Q46" si="3">P6/$P$48</f>
        <v>2.2097704776977516E-2</v>
      </c>
      <c r="R6" s="118"/>
      <c r="S6" s="118"/>
    </row>
    <row r="7" spans="1:19" s="58" customFormat="1" outlineLevel="1" x14ac:dyDescent="0.35">
      <c r="A7" s="81" t="s">
        <v>2</v>
      </c>
      <c r="D7" s="58" t="s">
        <v>1</v>
      </c>
      <c r="I7" s="76"/>
      <c r="J7" s="681">
        <f>'CBS (Total)'!J5/'CBS ($ per kW)'!J$1</f>
        <v>3676.0204081632655</v>
      </c>
      <c r="K7" s="677">
        <f t="shared" si="0"/>
        <v>0.16840562285833868</v>
      </c>
      <c r="L7" s="681">
        <f>'CBS (Total)'!L5/'CBS ($ per kW)'!L$1</f>
        <v>700</v>
      </c>
      <c r="M7" s="677">
        <f t="shared" si="1"/>
        <v>7.6502639708255327E-2</v>
      </c>
      <c r="N7" s="681">
        <f>'CBS (Total)'!N5/'CBS ($ per kW)'!N$1</f>
        <v>143.21428571428572</v>
      </c>
      <c r="O7" s="677">
        <f t="shared" si="2"/>
        <v>2.2702762120685296E-2</v>
      </c>
      <c r="P7" s="757">
        <f>'CBS (Total)'!P5/'CBS ($ per kW)'!P$1</f>
        <v>71.607142857142861</v>
      </c>
      <c r="Q7" s="678">
        <f t="shared" si="3"/>
        <v>1.2570069085220185E-2</v>
      </c>
      <c r="R7" s="89"/>
      <c r="S7" s="89"/>
    </row>
    <row r="8" spans="1:19" s="58" customFormat="1" outlineLevel="2" x14ac:dyDescent="0.35">
      <c r="A8" s="81" t="s">
        <v>89</v>
      </c>
      <c r="E8" s="58" t="s">
        <v>3</v>
      </c>
      <c r="I8" s="76"/>
      <c r="J8" s="681">
        <f>'CBS (Total)'!J6/'CBS ($ per kW)'!J$1</f>
        <v>341.83673469387753</v>
      </c>
      <c r="K8" s="677">
        <f t="shared" si="0"/>
        <v>1.5660203652336835E-2</v>
      </c>
      <c r="L8" s="681">
        <f>'CBS (Total)'!L6/'CBS ($ per kW)'!L$1</f>
        <v>43.367346938775512</v>
      </c>
      <c r="M8" s="677">
        <f t="shared" si="1"/>
        <v>4.7395950256572178E-3</v>
      </c>
      <c r="N8" s="681">
        <f>'CBS (Total)'!N6/'CBS ($ per kW)'!N$1</f>
        <v>8.6734693877551017</v>
      </c>
      <c r="O8" s="677">
        <f t="shared" si="2"/>
        <v>1.3749446243379053E-3</v>
      </c>
      <c r="P8" s="757">
        <f>'CBS (Total)'!P6/'CBS ($ per kW)'!P$1</f>
        <v>4.3367346938775508</v>
      </c>
      <c r="Q8" s="678">
        <f t="shared" si="3"/>
        <v>7.6127956697094091E-4</v>
      </c>
    </row>
    <row r="9" spans="1:19" s="58" customFormat="1" outlineLevel="2" x14ac:dyDescent="0.35">
      <c r="A9" s="81" t="s">
        <v>90</v>
      </c>
      <c r="E9" s="58" t="s">
        <v>5</v>
      </c>
      <c r="I9" s="76"/>
      <c r="J9" s="681">
        <f>'CBS (Total)'!J7/'CBS ($ per kW)'!J$1</f>
        <v>1665.8163265306123</v>
      </c>
      <c r="K9" s="677">
        <f t="shared" si="0"/>
        <v>7.6314276007283244E-2</v>
      </c>
      <c r="L9" s="681">
        <f>'CBS (Total)'!L7/'CBS ($ per kW)'!L$1</f>
        <v>290.81632653061223</v>
      </c>
      <c r="M9" s="677">
        <f t="shared" si="1"/>
        <v>3.1783166642642517E-2</v>
      </c>
      <c r="N9" s="681">
        <f>'CBS (Total)'!N7/'CBS ($ per kW)'!N$1</f>
        <v>56.785714285714285</v>
      </c>
      <c r="O9" s="677">
        <f t="shared" si="2"/>
        <v>9.0018433346358145E-3</v>
      </c>
      <c r="P9" s="757">
        <f>'CBS (Total)'!P7/'CBS ($ per kW)'!P$1</f>
        <v>28.392857142857142</v>
      </c>
      <c r="Q9" s="678">
        <f t="shared" si="3"/>
        <v>4.984142106109749E-3</v>
      </c>
      <c r="R9" s="89"/>
    </row>
    <row r="10" spans="1:19" s="58" customFormat="1" outlineLevel="2" x14ac:dyDescent="0.35">
      <c r="A10" s="81" t="s">
        <v>91</v>
      </c>
      <c r="E10" s="58" t="s">
        <v>7</v>
      </c>
      <c r="I10" s="76"/>
      <c r="J10" s="681">
        <f>'CBS (Total)'!J8/'CBS ($ per kW)'!J$1</f>
        <v>724.48979591836735</v>
      </c>
      <c r="K10" s="677">
        <f t="shared" si="0"/>
        <v>3.3190282367639268E-2</v>
      </c>
      <c r="L10" s="681">
        <f>'CBS (Total)'!L8/'CBS ($ per kW)'!L$1</f>
        <v>231.63265306122449</v>
      </c>
      <c r="M10" s="677">
        <f t="shared" si="1"/>
        <v>2.5315013431157374E-2</v>
      </c>
      <c r="N10" s="681">
        <f>'CBS (Total)'!N8/'CBS ($ per kW)'!N$1</f>
        <v>46.326530612244895</v>
      </c>
      <c r="O10" s="677">
        <f t="shared" si="2"/>
        <v>7.3438218758753995E-3</v>
      </c>
      <c r="P10" s="757">
        <f>'CBS (Total)'!P8/'CBS ($ per kW)'!P$1</f>
        <v>23.163265306122447</v>
      </c>
      <c r="Q10" s="678">
        <f t="shared" si="3"/>
        <v>4.0661285106447908E-3</v>
      </c>
    </row>
    <row r="11" spans="1:19" s="58" customFormat="1" outlineLevel="2" x14ac:dyDescent="0.35">
      <c r="A11" s="81" t="s">
        <v>92</v>
      </c>
      <c r="E11" s="58" t="s">
        <v>8</v>
      </c>
      <c r="I11" s="76"/>
      <c r="J11" s="681">
        <f>'CBS (Total)'!J9/'CBS ($ per kW)'!J$1</f>
        <v>943.87755102040819</v>
      </c>
      <c r="K11" s="677">
        <f t="shared" si="0"/>
        <v>4.3240860831079329E-2</v>
      </c>
      <c r="L11" s="681">
        <f>'CBS (Total)'!L9/'CBS ($ per kW)'!L$1</f>
        <v>134.18367346938774</v>
      </c>
      <c r="M11" s="677">
        <f t="shared" si="1"/>
        <v>1.4664864608798215E-2</v>
      </c>
      <c r="N11" s="681">
        <f>'CBS (Total)'!N9/'CBS ($ per kW)'!N$1</f>
        <v>31.428571428571427</v>
      </c>
      <c r="O11" s="677">
        <f t="shared" si="2"/>
        <v>4.9821522858361743E-3</v>
      </c>
      <c r="P11" s="757">
        <f>'CBS (Total)'!P9/'CBS ($ per kW)'!P$1</f>
        <v>15.714285714285714</v>
      </c>
      <c r="Q11" s="678">
        <f t="shared" si="3"/>
        <v>2.7585189014947037E-3</v>
      </c>
    </row>
    <row r="12" spans="1:19" s="58" customFormat="1" outlineLevel="1" x14ac:dyDescent="0.35">
      <c r="A12" s="81" t="s">
        <v>4</v>
      </c>
      <c r="D12" s="58" t="s">
        <v>93</v>
      </c>
      <c r="I12" s="76"/>
      <c r="J12" s="681">
        <f>'CBS (Total)'!J10/'CBS ($ per kW)'!J$1</f>
        <v>197.92142857142858</v>
      </c>
      <c r="K12" s="677">
        <f t="shared" si="0"/>
        <v>9.0671644209498799E-3</v>
      </c>
      <c r="L12" s="681">
        <f>'CBS (Total)'!L10/'CBS ($ per kW)'!L$1</f>
        <v>30.006224489795919</v>
      </c>
      <c r="M12" s="677">
        <f t="shared" si="1"/>
        <v>3.2793648302112638E-3</v>
      </c>
      <c r="N12" s="681">
        <f>'CBS (Total)'!N10/'CBS ($ per kW)'!N$1</f>
        <v>6.0012448979591833</v>
      </c>
      <c r="O12" s="677">
        <f t="shared" si="2"/>
        <v>9.5133550865277342E-4</v>
      </c>
      <c r="P12" s="757">
        <f>'CBS (Total)'!P10/'CBS ($ per kW)'!P$1</f>
        <v>3.0006224489795916</v>
      </c>
      <c r="Q12" s="678">
        <f t="shared" si="3"/>
        <v>5.2673560174833374E-4</v>
      </c>
    </row>
    <row r="13" spans="1:19" s="58" customFormat="1" outlineLevel="1" x14ac:dyDescent="0.35">
      <c r="A13" s="81" t="s">
        <v>6</v>
      </c>
      <c r="D13" s="58" t="s">
        <v>146</v>
      </c>
      <c r="I13" s="76"/>
      <c r="J13" s="681">
        <f>'CBS (Total)'!J11/'CBS ($ per kW)'!J$1</f>
        <v>944.9511239795919</v>
      </c>
      <c r="K13" s="677">
        <f t="shared" si="0"/>
        <v>4.3290043290043295E-2</v>
      </c>
      <c r="L13" s="681">
        <f>'CBS (Total)'!L11/'CBS ($ per kW)'!L$1</f>
        <v>242.27743337668508</v>
      </c>
      <c r="M13" s="677">
        <f t="shared" si="1"/>
        <v>2.6478375992939104E-2</v>
      </c>
      <c r="N13" s="681">
        <f>'CBS (Total)'!N11/'CBS ($ per kW)'!N$1</f>
        <v>112.44619945249821</v>
      </c>
      <c r="O13" s="677">
        <f t="shared" si="2"/>
        <v>1.7825311942959002E-2</v>
      </c>
      <c r="P13" s="757">
        <f>'CBS (Total)'!P11/'CBS ($ per kW)'!P$1</f>
        <v>51.274876392364284</v>
      </c>
      <c r="Q13" s="678">
        <f t="shared" si="3"/>
        <v>9.0009000900090012E-3</v>
      </c>
    </row>
    <row r="14" spans="1:19" s="57" customFormat="1" x14ac:dyDescent="0.35">
      <c r="A14" s="70">
        <v>1.2</v>
      </c>
      <c r="C14" s="57" t="s">
        <v>10</v>
      </c>
      <c r="I14" s="79"/>
      <c r="J14" s="680">
        <f>'CBS (Total)'!J12/'CBS ($ per kW)'!J$1</f>
        <v>1010.204081632653</v>
      </c>
      <c r="K14" s="86">
        <f t="shared" si="0"/>
        <v>4.6279407808398412E-2</v>
      </c>
      <c r="L14" s="680">
        <f>'CBS (Total)'!L12/'CBS ($ per kW)'!L$1</f>
        <v>495.91836734693879</v>
      </c>
      <c r="M14" s="86">
        <f t="shared" si="1"/>
        <v>5.4198663116927247E-2</v>
      </c>
      <c r="N14" s="680">
        <f>'CBS (Total)'!N12/'CBS ($ per kW)'!N$1</f>
        <v>154.40816326530611</v>
      </c>
      <c r="O14" s="86">
        <f t="shared" si="2"/>
        <v>2.4477249477036684E-2</v>
      </c>
      <c r="P14" s="756">
        <f>'CBS (Total)'!P12/'CBS ($ per kW)'!P$1</f>
        <v>176.63265306122449</v>
      </c>
      <c r="Q14" s="92">
        <f t="shared" si="3"/>
        <v>3.1006468951216445E-2</v>
      </c>
    </row>
    <row r="15" spans="1:19" s="58" customFormat="1" outlineLevel="1" x14ac:dyDescent="0.35">
      <c r="A15" s="81" t="s">
        <v>9</v>
      </c>
      <c r="D15" s="58" t="s">
        <v>12</v>
      </c>
      <c r="I15" s="76"/>
      <c r="J15" s="681">
        <f>'CBS (Total)'!J13/'CBS ($ per kW)'!J$1</f>
        <v>918.36734693877554</v>
      </c>
      <c r="K15" s="677">
        <f t="shared" si="0"/>
        <v>4.2072188916725831E-2</v>
      </c>
      <c r="L15" s="681">
        <f>'CBS (Total)'!L13/'CBS ($ per kW)'!L$1</f>
        <v>91.836734693877546</v>
      </c>
      <c r="M15" s="677">
        <f t="shared" si="1"/>
        <v>1.0036789466097637E-2</v>
      </c>
      <c r="N15" s="681">
        <f>'CBS (Total)'!N13/'CBS ($ per kW)'!N$1</f>
        <v>68.571428571428569</v>
      </c>
      <c r="O15" s="677">
        <f t="shared" si="2"/>
        <v>1.0870150441824379E-2</v>
      </c>
      <c r="P15" s="757">
        <f>'CBS (Total)'!P13/'CBS ($ per kW)'!P$1</f>
        <v>88.775510204081627</v>
      </c>
      <c r="Q15" s="678">
        <f t="shared" si="3"/>
        <v>1.5583840547405144E-2</v>
      </c>
    </row>
    <row r="16" spans="1:19" s="58" customFormat="1" outlineLevel="1" x14ac:dyDescent="0.35">
      <c r="A16" s="81" t="s">
        <v>11</v>
      </c>
      <c r="D16" s="58" t="s">
        <v>132</v>
      </c>
      <c r="I16" s="76"/>
      <c r="J16" s="681">
        <f>'CBS (Total)'!J14/'CBS ($ per kW)'!J$1</f>
        <v>91.836734693877546</v>
      </c>
      <c r="K16" s="677">
        <f t="shared" si="0"/>
        <v>4.2072188916725825E-3</v>
      </c>
      <c r="L16" s="681">
        <f>'CBS (Total)'!L14/'CBS ($ per kW)'!L$1</f>
        <v>9.183673469387756</v>
      </c>
      <c r="M16" s="677">
        <f t="shared" si="1"/>
        <v>1.0036789466097639E-3</v>
      </c>
      <c r="N16" s="681">
        <f>'CBS (Total)'!N14/'CBS ($ per kW)'!N$1</f>
        <v>6.8571428571428568</v>
      </c>
      <c r="O16" s="677">
        <f t="shared" si="2"/>
        <v>1.0870150441824381E-3</v>
      </c>
      <c r="P16" s="757">
        <f>'CBS (Total)'!P14/'CBS ($ per kW)'!P$1</f>
        <v>8.8775510204081627</v>
      </c>
      <c r="Q16" s="678">
        <f t="shared" si="3"/>
        <v>1.5583840547405143E-3</v>
      </c>
    </row>
    <row r="17" spans="1:27" s="58" customFormat="1" outlineLevel="1" x14ac:dyDescent="0.35">
      <c r="A17" s="81" t="s">
        <v>13</v>
      </c>
      <c r="D17" s="58" t="s">
        <v>14</v>
      </c>
      <c r="I17" s="76"/>
      <c r="J17" s="681">
        <f>'CBS (Total)'!J15/'CBS ($ per kW)'!J$1</f>
        <v>0</v>
      </c>
      <c r="K17" s="677">
        <f t="shared" si="0"/>
        <v>0</v>
      </c>
      <c r="L17" s="681">
        <f>'CBS (Total)'!L15/'CBS ($ per kW)'!L$1</f>
        <v>0</v>
      </c>
      <c r="M17" s="677">
        <f t="shared" si="1"/>
        <v>0</v>
      </c>
      <c r="N17" s="681">
        <f>'CBS (Total)'!N15/'CBS ($ per kW)'!N$1</f>
        <v>0</v>
      </c>
      <c r="O17" s="677">
        <f t="shared" si="2"/>
        <v>0</v>
      </c>
      <c r="P17" s="676">
        <f>'CBS (Total)'!P15/'CBS ($ per kW)'!P$1</f>
        <v>0</v>
      </c>
      <c r="Q17" s="678">
        <f t="shared" si="3"/>
        <v>0</v>
      </c>
    </row>
    <row r="18" spans="1:27" s="58" customFormat="1" outlineLevel="1" x14ac:dyDescent="0.35">
      <c r="A18" s="81" t="s">
        <v>15</v>
      </c>
      <c r="D18" s="58" t="s">
        <v>56</v>
      </c>
      <c r="I18" s="76"/>
      <c r="J18" s="681">
        <f>'CBS (Total)'!J16/'CBS ($ per kW)'!J$1</f>
        <v>0</v>
      </c>
      <c r="K18" s="677">
        <f t="shared" si="0"/>
        <v>0</v>
      </c>
      <c r="L18" s="681">
        <f>'CBS (Total)'!L16/'CBS ($ per kW)'!L$1</f>
        <v>394.89795918367349</v>
      </c>
      <c r="M18" s="677">
        <f t="shared" si="1"/>
        <v>4.3158194704219846E-2</v>
      </c>
      <c r="N18" s="681">
        <f>'CBS (Total)'!N16/'CBS ($ per kW)'!N$1</f>
        <v>78.979591836734699</v>
      </c>
      <c r="O18" s="677">
        <f t="shared" si="2"/>
        <v>1.2520083991029867E-2</v>
      </c>
      <c r="P18" s="757">
        <f>'CBS (Total)'!P16/'CBS ($ per kW)'!P$1</f>
        <v>78.979591836734699</v>
      </c>
      <c r="Q18" s="678">
        <f t="shared" si="3"/>
        <v>1.3864244349070786E-2</v>
      </c>
    </row>
    <row r="19" spans="1:27" s="58" customFormat="1" outlineLevel="1" x14ac:dyDescent="0.35">
      <c r="A19" s="81" t="s">
        <v>16</v>
      </c>
      <c r="D19" s="58" t="s">
        <v>17</v>
      </c>
      <c r="I19" s="76"/>
      <c r="J19" s="681">
        <f>'CBS (Total)'!J17/'CBS ($ per kW)'!J$1</f>
        <v>0</v>
      </c>
      <c r="K19" s="677">
        <f t="shared" si="0"/>
        <v>0</v>
      </c>
      <c r="L19" s="681">
        <f>'CBS (Total)'!L17/'CBS ($ per kW)'!L$1</f>
        <v>0</v>
      </c>
      <c r="M19" s="677">
        <f t="shared" si="1"/>
        <v>0</v>
      </c>
      <c r="N19" s="681">
        <f>'CBS (Total)'!N17/'CBS ($ per kW)'!N$1</f>
        <v>0</v>
      </c>
      <c r="O19" s="677">
        <f t="shared" si="2"/>
        <v>0</v>
      </c>
      <c r="P19" s="676">
        <f>'CBS (Total)'!P17/'CBS ($ per kW)'!P$1</f>
        <v>0</v>
      </c>
      <c r="Q19" s="678">
        <f t="shared" si="3"/>
        <v>0</v>
      </c>
    </row>
    <row r="20" spans="1:27" s="57" customFormat="1" x14ac:dyDescent="0.35">
      <c r="A20" s="70">
        <v>1.3</v>
      </c>
      <c r="C20" s="57" t="s">
        <v>18</v>
      </c>
      <c r="I20" s="79"/>
      <c r="J20" s="680">
        <f>'CBS (Total)'!J18/'CBS ($ per kW)'!J$1</f>
        <v>535.48469387755097</v>
      </c>
      <c r="K20" s="86">
        <f t="shared" si="0"/>
        <v>2.4531592154194218E-2</v>
      </c>
      <c r="L20" s="680">
        <f>'CBS (Total)'!L18/'CBS ($ per kW)'!L$1</f>
        <v>481.9362244897959</v>
      </c>
      <c r="M20" s="86">
        <f t="shared" si="1"/>
        <v>5.2670561920713878E-2</v>
      </c>
      <c r="N20" s="680">
        <f>'CBS (Total)'!N18/'CBS ($ per kW)'!N$1</f>
        <v>481.9362244897959</v>
      </c>
      <c r="O20" s="86">
        <f t="shared" si="2"/>
        <v>7.6397989260380217E-2</v>
      </c>
      <c r="P20" s="756">
        <f>'CBS (Total)'!P18/'CBS ($ per kW)'!P$1</f>
        <v>481.9362244897959</v>
      </c>
      <c r="Q20" s="92">
        <f t="shared" si="3"/>
        <v>8.4600102654460704E-2</v>
      </c>
    </row>
    <row r="21" spans="1:27" s="58" customFormat="1" outlineLevel="1" x14ac:dyDescent="0.35">
      <c r="A21" s="81" t="s">
        <v>19</v>
      </c>
      <c r="D21" s="58" t="s">
        <v>20</v>
      </c>
      <c r="I21" s="76"/>
      <c r="J21" s="681">
        <f>'CBS (Total)'!J19/'CBS ($ per kW)'!J$1</f>
        <v>186.19897959183675</v>
      </c>
      <c r="K21" s="677">
        <f t="shared" si="0"/>
        <v>8.5301363028661634E-3</v>
      </c>
      <c r="L21" s="681">
        <f>'CBS (Total)'!L19/'CBS ($ per kW)'!L$1</f>
        <v>167.57908163265307</v>
      </c>
      <c r="M21" s="677">
        <f t="shared" si="1"/>
        <v>1.8314631578261666E-2</v>
      </c>
      <c r="N21" s="681">
        <f>'CBS (Total)'!N19/'CBS ($ per kW)'!N$1</f>
        <v>167.57908163265307</v>
      </c>
      <c r="O21" s="677">
        <f t="shared" si="2"/>
        <v>2.6565143328641572E-2</v>
      </c>
      <c r="P21" s="757">
        <f>'CBS (Total)'!P19/'CBS ($ per kW)'!P$1</f>
        <v>167.57908163265307</v>
      </c>
      <c r="Q21" s="678">
        <f t="shared" si="3"/>
        <v>2.9417185902287112E-2</v>
      </c>
    </row>
    <row r="22" spans="1:27" s="58" customFormat="1" outlineLevel="1" x14ac:dyDescent="0.35">
      <c r="A22" s="81" t="s">
        <v>21</v>
      </c>
      <c r="D22" s="58" t="s">
        <v>22</v>
      </c>
      <c r="I22" s="76"/>
      <c r="J22" s="681">
        <f>'CBS (Total)'!J20/'CBS ($ per kW)'!J$1</f>
        <v>183.67346938775509</v>
      </c>
      <c r="K22" s="677">
        <f t="shared" si="0"/>
        <v>8.4144377833451651E-3</v>
      </c>
      <c r="L22" s="681">
        <f>'CBS (Total)'!L20/'CBS ($ per kW)'!L$1</f>
        <v>165.30612244897958</v>
      </c>
      <c r="M22" s="677">
        <f t="shared" si="1"/>
        <v>1.8066221038975747E-2</v>
      </c>
      <c r="N22" s="681">
        <f>'CBS (Total)'!N20/'CBS ($ per kW)'!N$1</f>
        <v>165.30612244897958</v>
      </c>
      <c r="O22" s="677">
        <f t="shared" si="2"/>
        <v>2.6204826957969485E-2</v>
      </c>
      <c r="P22" s="757">
        <f>'CBS (Total)'!P20/'CBS ($ per kW)'!P$1</f>
        <v>165.30612244897958</v>
      </c>
      <c r="Q22" s="678">
        <f t="shared" si="3"/>
        <v>2.9018185846892336E-2</v>
      </c>
    </row>
    <row r="23" spans="1:27" s="58" customFormat="1" outlineLevel="1" x14ac:dyDescent="0.35">
      <c r="A23" s="81" t="s">
        <v>23</v>
      </c>
      <c r="D23" s="58" t="s">
        <v>350</v>
      </c>
      <c r="I23" s="76"/>
      <c r="J23" s="681">
        <f>'CBS (Total)'!J21/'CBS ($ per kW)'!J$1</f>
        <v>61.224489795918366</v>
      </c>
      <c r="K23" s="677">
        <f t="shared" si="0"/>
        <v>2.8048125944483888E-3</v>
      </c>
      <c r="L23" s="681">
        <f>'CBS (Total)'!L21/'CBS ($ per kW)'!L$1</f>
        <v>55.102040816326529</v>
      </c>
      <c r="M23" s="677">
        <f t="shared" si="1"/>
        <v>6.0220736796585822E-3</v>
      </c>
      <c r="N23" s="681">
        <f>'CBS (Total)'!N21/'CBS ($ per kW)'!N$1</f>
        <v>55.102040816326529</v>
      </c>
      <c r="O23" s="677">
        <f t="shared" si="2"/>
        <v>8.7349423193231624E-3</v>
      </c>
      <c r="P23" s="757">
        <f>'CBS (Total)'!P21/'CBS ($ per kW)'!P$1</f>
        <v>55.102040816326529</v>
      </c>
      <c r="Q23" s="678">
        <f t="shared" si="3"/>
        <v>9.6727286156307792E-3</v>
      </c>
    </row>
    <row r="24" spans="1:27" s="58" customFormat="1" outlineLevel="1" x14ac:dyDescent="0.35">
      <c r="A24" s="81" t="s">
        <v>24</v>
      </c>
      <c r="D24" s="58" t="s">
        <v>25</v>
      </c>
      <c r="I24" s="76"/>
      <c r="J24" s="681">
        <f>'CBS (Total)'!J22/'CBS ($ per kW)'!J$1</f>
        <v>104.38775510204081</v>
      </c>
      <c r="K24" s="677">
        <f t="shared" si="0"/>
        <v>4.7822054735345027E-3</v>
      </c>
      <c r="L24" s="681">
        <f>'CBS (Total)'!L22/'CBS ($ per kW)'!L$1</f>
        <v>93.948979591836732</v>
      </c>
      <c r="M24" s="677">
        <f t="shared" si="1"/>
        <v>1.0267635623817883E-2</v>
      </c>
      <c r="N24" s="681">
        <f>'CBS (Total)'!N22/'CBS ($ per kW)'!N$1</f>
        <v>93.948979591836732</v>
      </c>
      <c r="O24" s="677">
        <f t="shared" si="2"/>
        <v>1.4893076654445992E-2</v>
      </c>
      <c r="P24" s="757">
        <f>'CBS (Total)'!P22/'CBS ($ per kW)'!P$1</f>
        <v>93.948979591836732</v>
      </c>
      <c r="Q24" s="678">
        <f t="shared" si="3"/>
        <v>1.6492002289650479E-2</v>
      </c>
      <c r="R24" s="103"/>
    </row>
    <row r="25" spans="1:27" s="58" customFormat="1" outlineLevel="1" x14ac:dyDescent="0.35">
      <c r="A25" s="81" t="s">
        <v>26</v>
      </c>
      <c r="D25" s="58" t="s">
        <v>17</v>
      </c>
      <c r="I25" s="76"/>
      <c r="J25" s="681">
        <f>'CBS (Total)'!J23/'CBS ($ per kW)'!J$1</f>
        <v>0</v>
      </c>
      <c r="K25" s="677">
        <f t="shared" si="0"/>
        <v>0</v>
      </c>
      <c r="L25" s="681">
        <f>'CBS (Total)'!L23/'CBS ($ per kW)'!L$1</f>
        <v>0</v>
      </c>
      <c r="M25" s="677">
        <f t="shared" si="1"/>
        <v>0</v>
      </c>
      <c r="N25" s="681">
        <f>'CBS (Total)'!N23/'CBS ($ per kW)'!N$1</f>
        <v>0</v>
      </c>
      <c r="O25" s="677">
        <f t="shared" si="2"/>
        <v>0</v>
      </c>
      <c r="P25" s="757">
        <f>'CBS (Total)'!P23/'CBS ($ per kW)'!P$1</f>
        <v>0</v>
      </c>
      <c r="Q25" s="678">
        <f t="shared" si="3"/>
        <v>0</v>
      </c>
      <c r="R25" s="89"/>
      <c r="S25" s="89"/>
      <c r="T25" s="89"/>
      <c r="U25" s="89"/>
    </row>
    <row r="26" spans="1:27" s="57" customFormat="1" x14ac:dyDescent="0.35">
      <c r="A26" s="70">
        <v>1.4</v>
      </c>
      <c r="C26" s="57" t="s">
        <v>27</v>
      </c>
      <c r="I26" s="116">
        <f>I27+I28</f>
        <v>455</v>
      </c>
      <c r="J26" s="680">
        <f>'CBS (Total)'!J24/'CBS ($ per kW)'!J$1</f>
        <v>5373.2142857142853</v>
      </c>
      <c r="K26" s="86">
        <f t="shared" si="0"/>
        <v>0.24615736532027668</v>
      </c>
      <c r="L26" s="680">
        <f>'CBS (Total)'!L24/'CBS ($ per kW)'!L$1</f>
        <v>3856.7710454778176</v>
      </c>
      <c r="M26" s="86">
        <f t="shared" si="1"/>
        <v>0.421504522470601</v>
      </c>
      <c r="N26" s="680">
        <f>'CBS (Total)'!N24/'CBS ($ per kW)'!N$1</f>
        <v>3058.8978634821847</v>
      </c>
      <c r="O26" s="86">
        <f t="shared" si="2"/>
        <v>0.48490574944913678</v>
      </c>
      <c r="P26" s="756">
        <f>'CBS (Total)'!P24/'CBS ($ per kW)'!P$1</f>
        <v>2768.3025664513766</v>
      </c>
      <c r="Q26" s="92">
        <f t="shared" si="3"/>
        <v>0.48595367892988134</v>
      </c>
      <c r="R26" s="95"/>
      <c r="S26" s="95"/>
      <c r="T26" s="95"/>
      <c r="U26" s="95"/>
      <c r="V26" s="96"/>
      <c r="W26" s="95"/>
      <c r="X26" s="95"/>
      <c r="Y26" s="95"/>
    </row>
    <row r="27" spans="1:27" s="58" customFormat="1" outlineLevel="1" x14ac:dyDescent="0.35">
      <c r="A27" s="81" t="s">
        <v>28</v>
      </c>
      <c r="D27" s="58" t="s">
        <v>460</v>
      </c>
      <c r="I27" s="682">
        <v>425</v>
      </c>
      <c r="J27" s="681">
        <f>'CBS (Total)'!J25/'CBS ($ per kW)'!J$1</f>
        <v>5117.3469387755104</v>
      </c>
      <c r="K27" s="677">
        <f t="shared" si="0"/>
        <v>0.23443558601931117</v>
      </c>
      <c r="L27" s="681">
        <f>'CBS (Total)'!L25/'CBS ($ per kW)'!L$1</f>
        <v>3673.1152814074453</v>
      </c>
      <c r="M27" s="677">
        <f t="shared" si="1"/>
        <v>0.40143287854342952</v>
      </c>
      <c r="N27" s="681">
        <f>'CBS (Total)'!N25/'CBS ($ per kW)'!N$1</f>
        <v>2913.2360604592232</v>
      </c>
      <c r="O27" s="677">
        <f t="shared" si="2"/>
        <v>0.4618149994753683</v>
      </c>
      <c r="P27" s="757">
        <f>'CBS (Total)'!P25/'CBS ($ per kW)'!P$1</f>
        <v>2636.4786347155973</v>
      </c>
      <c r="Q27" s="678">
        <f t="shared" si="3"/>
        <v>0.462813027552268</v>
      </c>
      <c r="R27" s="151"/>
      <c r="S27" s="151"/>
      <c r="T27" s="151"/>
      <c r="U27" s="151"/>
      <c r="V27" s="89"/>
      <c r="W27" s="89"/>
      <c r="X27" s="89"/>
      <c r="Y27" s="89"/>
      <c r="AA27" s="103"/>
    </row>
    <row r="28" spans="1:27" s="58" customFormat="1" outlineLevel="1" x14ac:dyDescent="0.35">
      <c r="A28" s="81" t="s">
        <v>30</v>
      </c>
      <c r="D28" s="58" t="s">
        <v>57</v>
      </c>
      <c r="I28" s="682">
        <v>30</v>
      </c>
      <c r="J28" s="681">
        <f>'CBS (Total)'!J26/'CBS ($ per kW)'!J$1</f>
        <v>255.86734693877551</v>
      </c>
      <c r="K28" s="677">
        <f t="shared" si="0"/>
        <v>1.1721779300965558E-2</v>
      </c>
      <c r="L28" s="681">
        <f>'CBS (Total)'!L26/'CBS ($ per kW)'!L$1</f>
        <v>183.6557640703723</v>
      </c>
      <c r="M28" s="677">
        <f t="shared" si="1"/>
        <v>2.0071643927171479E-2</v>
      </c>
      <c r="N28" s="681">
        <f>'CBS (Total)'!N26/'CBS ($ per kW)'!N$1</f>
        <v>145.66180302296115</v>
      </c>
      <c r="O28" s="677">
        <f t="shared" si="2"/>
        <v>2.3090749973768414E-2</v>
      </c>
      <c r="P28" s="757">
        <f>'CBS (Total)'!P26/'CBS ($ per kW)'!P$1</f>
        <v>131.82393173577987</v>
      </c>
      <c r="Q28" s="678">
        <f t="shared" si="3"/>
        <v>2.3140651377613401E-2</v>
      </c>
    </row>
    <row r="29" spans="1:27" s="57" customFormat="1" x14ac:dyDescent="0.35">
      <c r="A29" s="70">
        <v>1.5</v>
      </c>
      <c r="C29" s="57" t="s">
        <v>31</v>
      </c>
      <c r="I29" s="116">
        <v>20</v>
      </c>
      <c r="J29" s="680">
        <f>'CBS (Total)'!J27/'CBS ($ per kW)'!J$1</f>
        <v>1351.0938775510203</v>
      </c>
      <c r="K29" s="86">
        <f t="shared" si="0"/>
        <v>6.1896230359274447E-2</v>
      </c>
      <c r="L29" s="680">
        <f>'CBS (Total)'!L27/'CBS ($ per kW)'!L$1</f>
        <v>1046.0726385816972</v>
      </c>
      <c r="M29" s="86">
        <f t="shared" si="1"/>
        <v>0.1143247402543994</v>
      </c>
      <c r="N29" s="680">
        <f>'CBS (Total)'!N27/'CBS ($ per kW)'!N$1</f>
        <v>894.86910833308104</v>
      </c>
      <c r="O29" s="86">
        <f t="shared" si="2"/>
        <v>0.14185736006927668</v>
      </c>
      <c r="P29" s="756">
        <f>'CBS (Total)'!P27/'CBS ($ per kW)'!P$1</f>
        <v>831.51108836879382</v>
      </c>
      <c r="Q29" s="92">
        <f t="shared" si="3"/>
        <v>0.14596521253158415</v>
      </c>
    </row>
    <row r="30" spans="1:27" s="58" customFormat="1" outlineLevel="1" x14ac:dyDescent="0.35">
      <c r="A30" s="81" t="s">
        <v>32</v>
      </c>
      <c r="D30" s="58" t="s">
        <v>33</v>
      </c>
      <c r="I30" s="682"/>
      <c r="J30" s="681">
        <f>'CBS (Total)'!J28/'CBS ($ per kW)'!J$1</f>
        <v>71.489795918367349</v>
      </c>
      <c r="K30" s="677">
        <f t="shared" si="0"/>
        <v>3.2750861727842352E-3</v>
      </c>
      <c r="L30" s="681">
        <f>'CBS (Total)'!L28/'CBS ($ per kW)'!L$1</f>
        <v>60.289749006030519</v>
      </c>
      <c r="M30" s="677">
        <f t="shared" si="1"/>
        <v>6.5890356375849961E-3</v>
      </c>
      <c r="N30" s="681">
        <f>'CBS (Total)'!N28/'CBS ($ per kW)'!N$1</f>
        <v>53.520392423125386</v>
      </c>
      <c r="O30" s="677">
        <f t="shared" si="2"/>
        <v>8.4842146279457391E-3</v>
      </c>
      <c r="P30" s="757">
        <f>'CBS (Total)'!P28/'CBS ($ per kW)'!P$1</f>
        <v>50.844372801969115</v>
      </c>
      <c r="Q30" s="678">
        <f t="shared" si="3"/>
        <v>8.9253285805647748E-3</v>
      </c>
    </row>
    <row r="31" spans="1:27" s="58" customFormat="1" outlineLevel="1" x14ac:dyDescent="0.35">
      <c r="A31" s="81" t="s">
        <v>34</v>
      </c>
      <c r="D31" s="58" t="s">
        <v>38</v>
      </c>
      <c r="I31" s="682"/>
      <c r="J31" s="681">
        <f>'CBS (Total)'!J29/'CBS ($ per kW)'!J$1</f>
        <v>306.12244897959181</v>
      </c>
      <c r="K31" s="677">
        <f t="shared" si="0"/>
        <v>1.4024062972241942E-2</v>
      </c>
      <c r="L31" s="681">
        <f>'CBS (Total)'!L29/'CBS ($ per kW)'!L$1</f>
        <v>258.16335572094147</v>
      </c>
      <c r="M31" s="677">
        <f t="shared" si="1"/>
        <v>2.821454026941906E-2</v>
      </c>
      <c r="N31" s="681">
        <f>'CBS (Total)'!N29/'CBS ($ per kW)'!N$1</f>
        <v>229.17667323633478</v>
      </c>
      <c r="O31" s="677">
        <f t="shared" si="2"/>
        <v>3.6329780022605215E-2</v>
      </c>
      <c r="P31" s="757">
        <f>'CBS (Total)'!P29/'CBS ($ per kW)'!P$1</f>
        <v>217.71783957451802</v>
      </c>
      <c r="Q31" s="678">
        <f t="shared" si="3"/>
        <v>3.8218649360111795E-2</v>
      </c>
    </row>
    <row r="32" spans="1:27" s="58" customFormat="1" outlineLevel="1" x14ac:dyDescent="0.35">
      <c r="A32" s="81" t="s">
        <v>35</v>
      </c>
      <c r="D32" s="58" t="s">
        <v>40</v>
      </c>
      <c r="I32" s="682"/>
      <c r="J32" s="681">
        <f>'CBS (Total)'!J30/'CBS ($ per kW)'!J$1</f>
        <v>204.08163265306123</v>
      </c>
      <c r="K32" s="677">
        <f t="shared" si="0"/>
        <v>9.3493753148279624E-3</v>
      </c>
      <c r="L32" s="681">
        <f>'CBS (Total)'!L30/'CBS ($ per kW)'!L$1</f>
        <v>172.10890381396098</v>
      </c>
      <c r="M32" s="677">
        <f t="shared" si="1"/>
        <v>1.8809693512946039E-2</v>
      </c>
      <c r="N32" s="681">
        <f>'CBS (Total)'!N30/'CBS ($ per kW)'!N$1</f>
        <v>152.78444882422318</v>
      </c>
      <c r="O32" s="677">
        <f t="shared" si="2"/>
        <v>2.4219853348403476E-2</v>
      </c>
      <c r="P32" s="757">
        <f>'CBS (Total)'!P30/'CBS ($ per kW)'!P$1</f>
        <v>145.14522638301199</v>
      </c>
      <c r="Q32" s="678">
        <f t="shared" si="3"/>
        <v>2.5479099573407857E-2</v>
      </c>
    </row>
    <row r="33" spans="1:17" s="58" customFormat="1" outlineLevel="1" x14ac:dyDescent="0.35">
      <c r="A33" s="81" t="s">
        <v>36</v>
      </c>
      <c r="D33" s="58" t="s">
        <v>42</v>
      </c>
      <c r="I33" s="682"/>
      <c r="J33" s="681">
        <f>'CBS (Total)'!J31/'CBS ($ per kW)'!J$1</f>
        <v>51.020408163265309</v>
      </c>
      <c r="K33" s="677">
        <f t="shared" si="0"/>
        <v>2.3373438287069906E-3</v>
      </c>
      <c r="L33" s="681">
        <f>'CBS (Total)'!L31/'CBS ($ per kW)'!L$1</f>
        <v>51.020408163265309</v>
      </c>
      <c r="M33" s="677">
        <f t="shared" si="1"/>
        <v>5.5759941478320208E-3</v>
      </c>
      <c r="N33" s="681">
        <f>'CBS (Total)'!N31/'CBS ($ per kW)'!N$1</f>
        <v>51.020408163265309</v>
      </c>
      <c r="O33" s="677">
        <f t="shared" si="2"/>
        <v>8.0879095549288554E-3</v>
      </c>
      <c r="P33" s="757">
        <f>'CBS (Total)'!P31/'CBS ($ per kW)'!P$1</f>
        <v>51.020408163265309</v>
      </c>
      <c r="Q33" s="678">
        <f t="shared" si="3"/>
        <v>8.9562301996581294E-3</v>
      </c>
    </row>
    <row r="34" spans="1:17" s="58" customFormat="1" outlineLevel="1" x14ac:dyDescent="0.35">
      <c r="A34" s="81" t="s">
        <v>39</v>
      </c>
      <c r="D34" s="58" t="s">
        <v>464</v>
      </c>
      <c r="I34" s="682"/>
      <c r="J34" s="681">
        <f>'CBS (Total)'!J32/'CBS ($ per kW)'!J$1</f>
        <v>408.16326530612247</v>
      </c>
      <c r="K34" s="677">
        <f t="shared" si="0"/>
        <v>1.8698750629655925E-2</v>
      </c>
      <c r="L34" s="681">
        <f>'CBS (Total)'!L32/'CBS ($ per kW)'!L$1</f>
        <v>287.62777531116166</v>
      </c>
      <c r="M34" s="677">
        <f t="shared" si="1"/>
        <v>3.1434691521024023E-2</v>
      </c>
      <c r="N34" s="681">
        <f>'CBS (Total)'!N32/'CBS ($ per kW)'!N$1</f>
        <v>225.2087288551086</v>
      </c>
      <c r="O34" s="677">
        <f t="shared" si="2"/>
        <v>3.5700769467228041E-2</v>
      </c>
      <c r="P34" s="757">
        <f>'CBS (Total)'!P32/'CBS ($ per kW)'!P$1</f>
        <v>202.68785596959776</v>
      </c>
      <c r="Q34" s="678">
        <f t="shared" si="3"/>
        <v>3.5580254296081824E-2</v>
      </c>
    </row>
    <row r="35" spans="1:17" s="58" customFormat="1" outlineLevel="1" x14ac:dyDescent="0.35">
      <c r="A35" s="81" t="s">
        <v>41</v>
      </c>
      <c r="D35" s="58" t="s">
        <v>58</v>
      </c>
      <c r="I35" s="682"/>
      <c r="J35" s="681">
        <f>'CBS (Total)'!J33/'CBS ($ per kW)'!J$1</f>
        <v>208.17551020408163</v>
      </c>
      <c r="K35" s="677">
        <f t="shared" si="0"/>
        <v>9.5369237836434115E-3</v>
      </c>
      <c r="L35" s="681">
        <f>'CBS (Total)'!L33/'CBS ($ per kW)'!L$1</f>
        <v>165.84203840307197</v>
      </c>
      <c r="M35" s="677">
        <f t="shared" si="1"/>
        <v>1.8124791017761228E-2</v>
      </c>
      <c r="N35" s="681">
        <f>'CBS (Total)'!N33/'CBS ($ per kW)'!N$1</f>
        <v>142.34213030041147</v>
      </c>
      <c r="O35" s="677">
        <f t="shared" si="2"/>
        <v>2.2564505404222269E-2</v>
      </c>
      <c r="P35" s="757">
        <f>'CBS (Total)'!P33/'CBS ($ per kW)'!P$1</f>
        <v>133.48314057847244</v>
      </c>
      <c r="Q35" s="678">
        <f t="shared" si="3"/>
        <v>2.3431912401964877E-2</v>
      </c>
    </row>
    <row r="36" spans="1:17" s="58" customFormat="1" outlineLevel="1" x14ac:dyDescent="0.35">
      <c r="A36" s="81" t="s">
        <v>43</v>
      </c>
      <c r="D36" s="58" t="s">
        <v>122</v>
      </c>
      <c r="I36" s="682"/>
      <c r="J36" s="681">
        <f>'CBS (Total)'!J34/'CBS ($ per kW)'!J$1</f>
        <v>102.04081632653062</v>
      </c>
      <c r="K36" s="677">
        <f t="shared" si="0"/>
        <v>4.6746876574139812E-3</v>
      </c>
      <c r="L36" s="681">
        <f>'CBS (Total)'!L34/'CBS ($ per kW)'!L$1</f>
        <v>51.020408163265309</v>
      </c>
      <c r="M36" s="677">
        <f t="shared" si="1"/>
        <v>5.5759941478320208E-3</v>
      </c>
      <c r="N36" s="681">
        <f>'CBS (Total)'!N34/'CBS ($ per kW)'!N$1</f>
        <v>40.816326530612244</v>
      </c>
      <c r="O36" s="677">
        <f t="shared" si="2"/>
        <v>6.4703276439430834E-3</v>
      </c>
      <c r="P36" s="757">
        <f>'CBS (Total)'!P34/'CBS ($ per kW)'!P$1</f>
        <v>30.612244897959183</v>
      </c>
      <c r="Q36" s="678">
        <f t="shared" si="3"/>
        <v>5.3737381197948774E-3</v>
      </c>
    </row>
    <row r="37" spans="1:17" s="58" customFormat="1" outlineLevel="1" x14ac:dyDescent="0.35">
      <c r="A37" s="70">
        <v>1.6</v>
      </c>
      <c r="B37" s="457"/>
      <c r="C37" s="457" t="s">
        <v>61</v>
      </c>
      <c r="I37" s="690"/>
      <c r="J37" s="701">
        <f>'CBS (Total)'!J35/'CBS ($ per kW)'!J$1</f>
        <v>725.97928571428577</v>
      </c>
      <c r="K37" s="698">
        <f t="shared" si="0"/>
        <v>3.325851878337454E-2</v>
      </c>
      <c r="L37" s="701">
        <f>'CBS (Total)'!L35/'CBS ($ per kW)'!L$1</f>
        <v>538.47799085493102</v>
      </c>
      <c r="M37" s="698">
        <f t="shared" si="1"/>
        <v>5.8849982464571425E-2</v>
      </c>
      <c r="N37" s="701">
        <f>'CBS (Total)'!N35/'CBS ($ per kW)'!N$1</f>
        <v>443.57031963050616</v>
      </c>
      <c r="O37" s="698">
        <f t="shared" si="2"/>
        <v>7.0316109877879368E-2</v>
      </c>
      <c r="P37" s="699">
        <f>'CBS (Total)'!P35/'CBS ($ per kW)'!P$1</f>
        <v>408.17498793099668</v>
      </c>
      <c r="Q37" s="700">
        <f t="shared" si="3"/>
        <v>7.1651899411592626E-2</v>
      </c>
    </row>
    <row r="38" spans="1:17" s="57" customFormat="1" x14ac:dyDescent="0.35">
      <c r="A38" s="70">
        <v>1.7</v>
      </c>
      <c r="C38" s="57" t="s">
        <v>44</v>
      </c>
      <c r="I38" s="79"/>
      <c r="J38" s="680">
        <f>'CBS (Total)'!J36/'CBS ($ per kW)'!J$1</f>
        <v>6029.1044183673466</v>
      </c>
      <c r="K38" s="86">
        <f t="shared" si="0"/>
        <v>0.27620496409605899</v>
      </c>
      <c r="L38" s="680">
        <f>'CBS (Total)'!L36/'CBS ($ per kW)'!L$1</f>
        <v>926.73195464852608</v>
      </c>
      <c r="M38" s="86">
        <f t="shared" si="1"/>
        <v>0.10128205833229058</v>
      </c>
      <c r="N38" s="680">
        <f>'CBS (Total)'!N36/'CBS ($ per kW)'!N$1</f>
        <v>439.41276281179137</v>
      </c>
      <c r="O38" s="86">
        <f t="shared" si="2"/>
        <v>6.965704138490221E-2</v>
      </c>
      <c r="P38" s="756">
        <f>'CBS (Total)'!P36/'CBS ($ per kW)'!P$1</f>
        <v>386.32235362811792</v>
      </c>
      <c r="Q38" s="92">
        <f t="shared" si="3"/>
        <v>6.7815841835196275E-2</v>
      </c>
    </row>
    <row r="39" spans="1:17" s="57" customFormat="1" x14ac:dyDescent="0.35">
      <c r="A39" s="697" t="s">
        <v>62</v>
      </c>
      <c r="D39" s="696" t="s">
        <v>45</v>
      </c>
      <c r="I39" s="79"/>
      <c r="J39" s="681">
        <f>'CBS (Total)'!J37/'CBS ($ per kW)'!J$1</f>
        <v>30.357142857142858</v>
      </c>
      <c r="K39" s="677">
        <f t="shared" si="0"/>
        <v>1.3907195780806594E-3</v>
      </c>
      <c r="L39" s="681">
        <f>'CBS (Total)'!L37/'CBS ($ per kW)'!L$1</f>
        <v>30.357142857142858</v>
      </c>
      <c r="M39" s="677">
        <f t="shared" si="1"/>
        <v>3.3177165179600525E-3</v>
      </c>
      <c r="N39" s="681">
        <f>'CBS (Total)'!N37/'CBS ($ per kW)'!N$1</f>
        <v>30.357142857142858</v>
      </c>
      <c r="O39" s="677">
        <f t="shared" si="2"/>
        <v>4.8123061851826684E-3</v>
      </c>
      <c r="P39" s="757">
        <f>'CBS (Total)'!P37/'CBS ($ per kW)'!P$1</f>
        <v>30.357142857142858</v>
      </c>
      <c r="Q39" s="678">
        <f t="shared" si="3"/>
        <v>5.3289569687965874E-3</v>
      </c>
    </row>
    <row r="40" spans="1:17" s="58" customFormat="1" outlineLevel="1" x14ac:dyDescent="0.35">
      <c r="A40" s="81" t="s">
        <v>63</v>
      </c>
      <c r="D40" s="58" t="s">
        <v>46</v>
      </c>
      <c r="I40" s="76"/>
      <c r="J40" s="681">
        <f>'CBS (Total)'!J38/'CBS ($ per kW)'!J$1</f>
        <v>680.61224489795916</v>
      </c>
      <c r="K40" s="677">
        <f t="shared" si="0"/>
        <v>3.1180166674951253E-2</v>
      </c>
      <c r="L40" s="681">
        <f>'CBS (Total)'!L38/'CBS ($ per kW)'!L$1</f>
        <v>78.285714285714292</v>
      </c>
      <c r="M40" s="677">
        <f t="shared" si="1"/>
        <v>8.5558054204334533E-3</v>
      </c>
      <c r="N40" s="681">
        <f>'CBS (Total)'!N38/'CBS ($ per kW)'!N$1</f>
        <v>15.657142857142857</v>
      </c>
      <c r="O40" s="677">
        <f t="shared" si="2"/>
        <v>2.4820176842165666E-3</v>
      </c>
      <c r="P40" s="757">
        <f>'CBS (Total)'!P38/'CBS ($ per kW)'!P$1</f>
        <v>15.653061224489797</v>
      </c>
      <c r="Q40" s="678">
        <f t="shared" si="3"/>
        <v>2.7477714252551141E-3</v>
      </c>
    </row>
    <row r="41" spans="1:17" s="58" customFormat="1" outlineLevel="1" x14ac:dyDescent="0.35">
      <c r="A41" s="81" t="s">
        <v>64</v>
      </c>
      <c r="D41" s="58" t="s">
        <v>60</v>
      </c>
      <c r="I41" s="76"/>
      <c r="J41" s="681">
        <f>'CBS (Total)'!J39/'CBS ($ per kW)'!J$1</f>
        <v>3259.0138265306127</v>
      </c>
      <c r="K41" s="677">
        <f t="shared" si="0"/>
        <v>0.14930174276019681</v>
      </c>
      <c r="L41" s="681">
        <f>'CBS (Total)'!L39/'CBS ($ per kW)'!L$1</f>
        <v>398.42434240362809</v>
      </c>
      <c r="M41" s="677">
        <f t="shared" si="1"/>
        <v>4.3543591311290451E-2</v>
      </c>
      <c r="N41" s="681">
        <f>'CBS (Total)'!N39/'CBS ($ per kW)'!N$1</f>
        <v>144.16246485260771</v>
      </c>
      <c r="O41" s="677">
        <f t="shared" si="2"/>
        <v>2.285307034809262E-2</v>
      </c>
      <c r="P41" s="757">
        <f>'CBS (Total)'!P39/'CBS ($ per kW)'!P$1</f>
        <v>112.37973015873017</v>
      </c>
      <c r="Q41" s="678">
        <f t="shared" si="3"/>
        <v>1.9727375168310191E-2</v>
      </c>
    </row>
    <row r="42" spans="1:17" s="58" customFormat="1" outlineLevel="1" x14ac:dyDescent="0.35">
      <c r="A42" s="81" t="s">
        <v>65</v>
      </c>
      <c r="D42" s="58" t="s">
        <v>234</v>
      </c>
      <c r="I42" s="76"/>
      <c r="J42" s="681">
        <f>'CBS (Total)'!J40/'CBS ($ per kW)'!J$1</f>
        <v>1538.2997755102042</v>
      </c>
      <c r="K42" s="677">
        <f t="shared" si="0"/>
        <v>7.0472495545006453E-2</v>
      </c>
      <c r="L42" s="681">
        <f>'CBS (Total)'!L40/'CBS ($ per kW)'!L$1</f>
        <v>232.66985714285715</v>
      </c>
      <c r="M42" s="677">
        <f t="shared" si="1"/>
        <v>2.5428368931387484E-2</v>
      </c>
      <c r="N42" s="681">
        <f>'CBS (Total)'!N40/'CBS ($ per kW)'!N$1</f>
        <v>91.91458367346938</v>
      </c>
      <c r="O42" s="677">
        <f t="shared" si="2"/>
        <v>1.4570578054787229E-2</v>
      </c>
      <c r="P42" s="757">
        <f>'CBS (Total)'!P40/'CBS ($ per kW)'!P$1</f>
        <v>74.320174489795917</v>
      </c>
      <c r="Q42" s="678">
        <f t="shared" si="3"/>
        <v>1.3046320387703689E-2</v>
      </c>
    </row>
    <row r="43" spans="1:17" s="58" customFormat="1" outlineLevel="1" x14ac:dyDescent="0.35">
      <c r="A43" s="81" t="s">
        <v>66</v>
      </c>
      <c r="D43" s="58" t="s">
        <v>47</v>
      </c>
      <c r="I43" s="76"/>
      <c r="J43" s="681">
        <f>'CBS (Total)'!J41/'CBS ($ per kW)'!J$1</f>
        <v>260.41071428571428</v>
      </c>
      <c r="K43" s="677">
        <f t="shared" si="0"/>
        <v>1.1929919768911916E-2</v>
      </c>
      <c r="L43" s="681">
        <f>'CBS (Total)'!L41/'CBS ($ per kW)'!L$1</f>
        <v>93.497448979591837</v>
      </c>
      <c r="M43" s="677">
        <f t="shared" si="1"/>
        <v>1.021828807560957E-2</v>
      </c>
      <c r="N43" s="681">
        <f>'CBS (Total)'!N41/'CBS ($ per kW)'!N$1</f>
        <v>78.660714285714292</v>
      </c>
      <c r="O43" s="677">
        <f t="shared" si="2"/>
        <v>1.2469534556311562E-2</v>
      </c>
      <c r="P43" s="757">
        <f>'CBS (Total)'!P41/'CBS ($ per kW)'!P$1</f>
        <v>76.806122448979593</v>
      </c>
      <c r="Q43" s="678">
        <f t="shared" si="3"/>
        <v>1.3482708942565348E-2</v>
      </c>
    </row>
    <row r="44" spans="1:17" s="58" customFormat="1" outlineLevel="1" x14ac:dyDescent="0.35">
      <c r="A44" s="81" t="s">
        <v>67</v>
      </c>
      <c r="D44" s="58" t="s">
        <v>48</v>
      </c>
      <c r="I44" s="76"/>
      <c r="J44" s="681">
        <f>'CBS (Total)'!J42/'CBS ($ per kW)'!J$1</f>
        <v>260.41071428571428</v>
      </c>
      <c r="K44" s="677">
        <f t="shared" si="0"/>
        <v>1.1929919768911916E-2</v>
      </c>
      <c r="L44" s="681">
        <f>'CBS (Total)'!L42/'CBS ($ per kW)'!L$1</f>
        <v>93.497448979591837</v>
      </c>
      <c r="M44" s="677">
        <f t="shared" si="1"/>
        <v>1.021828807560957E-2</v>
      </c>
      <c r="N44" s="681">
        <f>'CBS (Total)'!N42/'CBS ($ per kW)'!N$1</f>
        <v>78.660714285714292</v>
      </c>
      <c r="O44" s="677">
        <f t="shared" si="2"/>
        <v>1.2469534556311562E-2</v>
      </c>
      <c r="P44" s="757">
        <f>'CBS (Total)'!P42/'CBS ($ per kW)'!P$1</f>
        <v>76.806122448979593</v>
      </c>
      <c r="Q44" s="678">
        <f t="shared" si="3"/>
        <v>1.3482708942565348E-2</v>
      </c>
    </row>
    <row r="45" spans="1:17" s="58" customFormat="1" outlineLevel="1" x14ac:dyDescent="0.35">
      <c r="A45" s="673">
        <v>1.8</v>
      </c>
      <c r="C45" s="457" t="s">
        <v>127</v>
      </c>
      <c r="I45" s="76"/>
      <c r="J45" s="680">
        <f>'CBS (Total)'!J43/'CBS ($ per kW)'!J$1</f>
        <v>6029.1044183673466</v>
      </c>
      <c r="K45" s="86">
        <f t="shared" si="0"/>
        <v>0.27620496409605899</v>
      </c>
      <c r="L45" s="680">
        <f>'CBS (Total)'!L43/'CBS ($ per kW)'!L$1</f>
        <v>926.73195464852608</v>
      </c>
      <c r="M45" s="86">
        <f t="shared" si="1"/>
        <v>0.10128205833229058</v>
      </c>
      <c r="N45" s="680">
        <f>'CBS (Total)'!N43/'CBS ($ per kW)'!N$1</f>
        <v>439.41276281179137</v>
      </c>
      <c r="O45" s="86">
        <f t="shared" si="2"/>
        <v>6.965704138490221E-2</v>
      </c>
      <c r="P45" s="675">
        <f>'CBS (Total)'!P43/'CBS ($ per kW)'!P$1</f>
        <v>386.32235362811792</v>
      </c>
      <c r="Q45" s="92">
        <f t="shared" si="3"/>
        <v>6.7815841835196275E-2</v>
      </c>
    </row>
    <row r="46" spans="1:17" s="79" customFormat="1" x14ac:dyDescent="0.35">
      <c r="A46" s="687">
        <v>1.9</v>
      </c>
      <c r="C46" s="79" t="s">
        <v>125</v>
      </c>
      <c r="J46" s="680">
        <f>'CBS (Total)'!J44/'CBS ($ per kW)'!J$1</f>
        <v>1984.3973603571433</v>
      </c>
      <c r="K46" s="86">
        <f t="shared" si="0"/>
        <v>9.0909090909090939E-2</v>
      </c>
      <c r="L46" s="680">
        <f>'CBS (Total)'!L44/'CBS ($ per kW)'!L$1</f>
        <v>831.81918792661884</v>
      </c>
      <c r="M46" s="86">
        <f t="shared" si="1"/>
        <v>9.0909090909090925E-2</v>
      </c>
      <c r="N46" s="680">
        <f>'CBS (Total)'!N44/'CBS ($ per kW)'!N$1</f>
        <v>573.47561720774092</v>
      </c>
      <c r="O46" s="86">
        <f t="shared" si="2"/>
        <v>9.0909090909090912E-2</v>
      </c>
      <c r="P46" s="756">
        <f>'CBS (Total)'!P44/'CBS ($ per kW)'!P$1</f>
        <v>517.87625156287936</v>
      </c>
      <c r="Q46" s="92">
        <f t="shared" si="3"/>
        <v>9.0909090909090925E-2</v>
      </c>
    </row>
    <row r="47" spans="1:17" s="79" customFormat="1" x14ac:dyDescent="0.35">
      <c r="A47" s="94"/>
      <c r="J47" s="149"/>
      <c r="K47" s="86"/>
      <c r="L47" s="149"/>
      <c r="M47" s="86"/>
      <c r="N47" s="149"/>
      <c r="O47" s="86"/>
      <c r="P47" s="361"/>
      <c r="Q47" s="92"/>
    </row>
    <row r="48" spans="1:17" outlineLevel="1" x14ac:dyDescent="0.35">
      <c r="A48" s="672" t="s">
        <v>440</v>
      </c>
      <c r="B48" s="154"/>
      <c r="C48" s="154"/>
      <c r="D48" s="154"/>
      <c r="E48" s="154"/>
      <c r="F48" s="154"/>
      <c r="G48" s="154"/>
      <c r="H48" s="154"/>
      <c r="I48" s="653"/>
      <c r="J48" s="155">
        <f>'CBS (Total)'!J46/'CBS ($ per kW)'!J$1</f>
        <v>21828.37096392857</v>
      </c>
      <c r="K48" s="158">
        <f t="shared" ref="K48" si="4">J48/$J$48</f>
        <v>1</v>
      </c>
      <c r="L48" s="155">
        <f>'CBS (Total)'!L46/'CBS ($ per kW)'!L$1</f>
        <v>9150.0110671928051</v>
      </c>
      <c r="M48" s="158">
        <f t="shared" ref="M48" si="5">L48/$L$48</f>
        <v>1</v>
      </c>
      <c r="N48" s="155">
        <f>'CBS (Total)'!N46/'CBS ($ per kW)'!N$1</f>
        <v>6308.2317892851497</v>
      </c>
      <c r="O48" s="158">
        <f t="shared" ref="O48" si="6">N48/$N$48</f>
        <v>1</v>
      </c>
      <c r="P48" s="157">
        <f>'CBS (Total)'!P46/'CBS ($ per kW)'!P$1</f>
        <v>5696.6387671916718</v>
      </c>
      <c r="Q48" s="159">
        <f t="shared" ref="Q48" si="7">P48/$P$48</f>
        <v>1</v>
      </c>
    </row>
    <row r="49" spans="1:19" outlineLevel="1" x14ac:dyDescent="0.35">
      <c r="I49" s="59"/>
      <c r="J49" s="149"/>
      <c r="K49" s="84"/>
      <c r="L49" s="149"/>
      <c r="M49" s="84"/>
      <c r="N49" s="149"/>
      <c r="O49" s="84"/>
      <c r="P49" s="148"/>
      <c r="Q49" s="59"/>
    </row>
    <row r="50" spans="1:19" s="57" customFormat="1" x14ac:dyDescent="0.35">
      <c r="A50" s="70">
        <v>2</v>
      </c>
      <c r="B50" s="57" t="s">
        <v>55</v>
      </c>
      <c r="I50" s="79"/>
      <c r="J50" s="149">
        <f>'CBS (Total)'!J48/'CBS ($ per kW)'!J$1</f>
        <v>1330.4004223809523</v>
      </c>
      <c r="K50" s="92">
        <f t="shared" ref="K50:K56" si="8">J50/$J$48</f>
        <v>6.0948223052441332E-2</v>
      </c>
      <c r="L50" s="149">
        <f>'CBS (Total)'!L48/'CBS ($ per kW)'!L$1</f>
        <v>451.91472723385721</v>
      </c>
      <c r="M50" s="92">
        <f t="shared" ref="M50:M56" si="9">L50/$L$48</f>
        <v>4.9389527937751802E-2</v>
      </c>
      <c r="N50" s="149">
        <f>'CBS (Total)'!N48/'CBS ($ per kW)'!N$1</f>
        <v>214.77671143028641</v>
      </c>
      <c r="O50" s="92">
        <f t="shared" ref="O50:O56" si="10">N50/$N$48</f>
        <v>3.404705448444293E-2</v>
      </c>
      <c r="P50" s="361">
        <f>'CBS (Total)'!P48/'CBS ($ per kW)'!P$1</f>
        <v>145.31907969512346</v>
      </c>
      <c r="Q50" s="92">
        <f t="shared" ref="Q50:Q56" si="11">P50/$P$48</f>
        <v>2.5509618150979029E-2</v>
      </c>
    </row>
    <row r="51" spans="1:19" outlineLevel="1" x14ac:dyDescent="0.35">
      <c r="A51" s="37">
        <v>2.1</v>
      </c>
      <c r="C51" s="69" t="s">
        <v>49</v>
      </c>
      <c r="I51" s="59"/>
      <c r="J51" s="150">
        <f>'CBS (Total)'!J49/'CBS ($ per kW)'!J$1</f>
        <v>300.5016128571429</v>
      </c>
      <c r="K51" s="91">
        <f t="shared" si="8"/>
        <v>1.3766561570431548E-2</v>
      </c>
      <c r="L51" s="150">
        <f>'CBS (Total)'!L49/'CBS ($ per kW)'!L$1</f>
        <v>146.91816442799413</v>
      </c>
      <c r="M51" s="91">
        <f t="shared" si="9"/>
        <v>1.605661057119007E-2</v>
      </c>
      <c r="N51" s="150">
        <f>'CBS (Total)'!N49/'CBS ($ per kW)'!N$1</f>
        <v>54.730944420126654</v>
      </c>
      <c r="O51" s="91">
        <f t="shared" si="10"/>
        <v>8.6761149951861197E-3</v>
      </c>
      <c r="P51" s="757">
        <f>'CBS (Total)'!P49/'CBS ($ per kW)'!P$1</f>
        <v>25.264399369651528</v>
      </c>
      <c r="Q51" s="87">
        <f t="shared" si="11"/>
        <v>4.4349660215696578E-3</v>
      </c>
    </row>
    <row r="52" spans="1:19" outlineLevel="1" x14ac:dyDescent="0.35">
      <c r="A52" s="37">
        <v>2.2000000000000002</v>
      </c>
      <c r="C52" s="69" t="s">
        <v>50</v>
      </c>
      <c r="I52" s="59"/>
      <c r="J52" s="150">
        <f>'CBS (Total)'!J50/'CBS ($ per kW)'!J$1</f>
        <v>724.48979591836735</v>
      </c>
      <c r="K52" s="91">
        <f t="shared" si="8"/>
        <v>3.3190282367639268E-2</v>
      </c>
      <c r="L52" s="150">
        <f>'CBS (Total)'!L50/'CBS ($ per kW)'!L$1</f>
        <v>114.38775510204081</v>
      </c>
      <c r="M52" s="91">
        <f t="shared" si="9"/>
        <v>1.2501378879439392E-2</v>
      </c>
      <c r="N52" s="150">
        <f>'CBS (Total)'!N50/'CBS ($ per kW)'!N$1</f>
        <v>22.877551020408163</v>
      </c>
      <c r="O52" s="91">
        <f t="shared" si="10"/>
        <v>3.6266186444300981E-3</v>
      </c>
      <c r="P52" s="757">
        <f>'CBS (Total)'!P50/'CBS ($ per kW)'!P$1</f>
        <v>11.438775510204081</v>
      </c>
      <c r="Q52" s="87">
        <f t="shared" si="11"/>
        <v>2.0079868107633525E-3</v>
      </c>
      <c r="R52" s="4"/>
      <c r="S52" s="4"/>
    </row>
    <row r="53" spans="1:19" outlineLevel="1" x14ac:dyDescent="0.35">
      <c r="A53" s="37">
        <v>2.2999999999999998</v>
      </c>
      <c r="C53" s="69" t="s">
        <v>51</v>
      </c>
      <c r="I53" s="59"/>
      <c r="J53" s="150">
        <f>'CBS (Total)'!J51/'CBS ($ per kW)'!J$1</f>
        <v>25.413265306122447</v>
      </c>
      <c r="K53" s="91">
        <f t="shared" si="8"/>
        <v>1.1642309610789519E-3</v>
      </c>
      <c r="L53" s="150">
        <f>'CBS (Total)'!L51/'CBS ($ per kW)'!L$1</f>
        <v>25.413265306122447</v>
      </c>
      <c r="M53" s="91">
        <f t="shared" si="9"/>
        <v>2.7774026850351293E-3</v>
      </c>
      <c r="N53" s="150">
        <f>'CBS (Total)'!N51/'CBS ($ per kW)'!N$1</f>
        <v>10.722448979591837</v>
      </c>
      <c r="O53" s="91">
        <f t="shared" si="10"/>
        <v>1.699755072063848E-3</v>
      </c>
      <c r="P53" s="762">
        <f>'CBS (Total)'!P51/'CBS ($ per kW)'!P$1</f>
        <v>10.722448979591837</v>
      </c>
      <c r="Q53" s="87">
        <f t="shared" si="11"/>
        <v>1.8822413387601525E-3</v>
      </c>
      <c r="R53" s="63"/>
      <c r="S53" s="63"/>
    </row>
    <row r="54" spans="1:19" outlineLevel="1" x14ac:dyDescent="0.35">
      <c r="A54" s="37">
        <v>2.4</v>
      </c>
      <c r="C54" s="69" t="s">
        <v>52</v>
      </c>
      <c r="I54" s="59"/>
      <c r="J54" s="150">
        <f>'CBS (Total)'!J52/'CBS ($ per kW)'!J$1</f>
        <v>144.44999999999999</v>
      </c>
      <c r="K54" s="91">
        <f t="shared" si="8"/>
        <v>6.6175345947118054E-3</v>
      </c>
      <c r="L54" s="150">
        <f>'CBS (Total)'!L52/'CBS ($ per kW)'!L$1</f>
        <v>40.80979591836735</v>
      </c>
      <c r="M54" s="91">
        <f t="shared" si="9"/>
        <v>4.4600815910146949E-3</v>
      </c>
      <c r="N54" s="150">
        <f>'CBS (Total)'!N52/'CBS ($ per kW)'!N$1</f>
        <v>9.2794285714285714</v>
      </c>
      <c r="O54" s="91">
        <f t="shared" si="10"/>
        <v>1.4710031085398844E-3</v>
      </c>
      <c r="P54" s="762">
        <f>'CBS (Total)'!P52/'CBS ($ per kW)'!P$1</f>
        <v>6.8840204081632654</v>
      </c>
      <c r="Q54" s="87">
        <f t="shared" si="11"/>
        <v>1.2084354809032325E-3</v>
      </c>
    </row>
    <row r="55" spans="1:19" outlineLevel="1" x14ac:dyDescent="0.35">
      <c r="A55" s="2">
        <v>2.5</v>
      </c>
      <c r="C55" s="69" t="s">
        <v>53</v>
      </c>
      <c r="I55" s="59"/>
      <c r="J55" s="150">
        <f>'CBS (Total)'!J53/'CBS ($ per kW)'!J$1</f>
        <v>128.40289115646257</v>
      </c>
      <c r="K55" s="91">
        <f t="shared" si="8"/>
        <v>5.8823854225607871E-3</v>
      </c>
      <c r="L55" s="150">
        <f>'CBS (Total)'!L53/'CBS ($ per kW)'!L$1</f>
        <v>117.24288933647536</v>
      </c>
      <c r="M55" s="91">
        <f t="shared" si="9"/>
        <v>1.2813415030376035E-2</v>
      </c>
      <c r="N55" s="150">
        <f>'CBS (Total)'!N53/'CBS ($ per kW)'!N$1</f>
        <v>110.02348129587406</v>
      </c>
      <c r="O55" s="91">
        <f t="shared" si="10"/>
        <v>1.7441255326532946E-2</v>
      </c>
      <c r="P55" s="762">
        <f>'CBS (Total)'!P53/'CBS ($ per kW)'!P$1</f>
        <v>83.866578284655617</v>
      </c>
      <c r="Q55" s="87">
        <f t="shared" si="11"/>
        <v>1.4722116271030495E-2</v>
      </c>
    </row>
    <row r="56" spans="1:19" outlineLevel="1" x14ac:dyDescent="0.35">
      <c r="A56" s="37">
        <v>2.6</v>
      </c>
      <c r="C56" s="69" t="s">
        <v>54</v>
      </c>
      <c r="I56" s="59"/>
      <c r="J56" s="150">
        <f>'CBS (Total)'!J54/'CBS ($ per kW)'!J$1</f>
        <v>7.1428571428571432</v>
      </c>
      <c r="K56" s="91">
        <f t="shared" si="8"/>
        <v>3.2722813601897868E-4</v>
      </c>
      <c r="L56" s="150">
        <f>'CBS (Total)'!L54/'CBS ($ per kW)'!L$1</f>
        <v>7.1428571428571432</v>
      </c>
      <c r="M56" s="91">
        <f t="shared" si="9"/>
        <v>7.8063918069648302E-4</v>
      </c>
      <c r="N56" s="150">
        <f>'CBS (Total)'!N54/'CBS ($ per kW)'!N$1</f>
        <v>7.1428571428571432</v>
      </c>
      <c r="O56" s="91">
        <f t="shared" si="10"/>
        <v>1.1323073376900397E-3</v>
      </c>
      <c r="P56" s="762">
        <f>'CBS (Total)'!P54/'CBS ($ per kW)'!P$1</f>
        <v>7.1428571428571432</v>
      </c>
      <c r="Q56" s="87">
        <f t="shared" si="11"/>
        <v>1.2538722279521381E-3</v>
      </c>
    </row>
    <row r="57" spans="1:19" x14ac:dyDescent="0.35">
      <c r="I57" s="59"/>
      <c r="J57" s="149"/>
      <c r="K57" s="76"/>
      <c r="L57" s="149"/>
      <c r="M57" s="76"/>
      <c r="N57" s="149"/>
      <c r="O57" s="76"/>
      <c r="P57" s="148"/>
      <c r="Q57" s="59"/>
    </row>
    <row r="58" spans="1:19" s="57" customFormat="1" x14ac:dyDescent="0.35">
      <c r="A58" s="153" t="s">
        <v>191</v>
      </c>
      <c r="B58" s="154"/>
      <c r="C58" s="154"/>
      <c r="D58" s="154"/>
      <c r="E58" s="154"/>
      <c r="F58" s="154"/>
      <c r="G58" s="154"/>
      <c r="H58" s="154"/>
      <c r="I58" s="154"/>
      <c r="J58" s="155">
        <f>'CBS (Total)'!J56/'CBS ($ per kW)'!J$1</f>
        <v>1330.4004223809523</v>
      </c>
      <c r="K58" s="156">
        <f t="shared" ref="K58:Q58" si="12">SUM(K51:K56)</f>
        <v>6.0948223052441339E-2</v>
      </c>
      <c r="L58" s="155">
        <f>'CBS (Total)'!L56/'CBS ($ per kW)'!L$1</f>
        <v>451.91472723385721</v>
      </c>
      <c r="M58" s="156">
        <f t="shared" si="12"/>
        <v>4.9389527937751809E-2</v>
      </c>
      <c r="N58" s="155">
        <f>'CBS (Total)'!N56/'CBS ($ per kW)'!N$1</f>
        <v>214.77671143028641</v>
      </c>
      <c r="O58" s="156">
        <f t="shared" si="12"/>
        <v>3.4047054484442937E-2</v>
      </c>
      <c r="P58" s="157">
        <f>'CBS (Total)'!P56/'CBS ($ per kW)'!P$1</f>
        <v>145.31907969512346</v>
      </c>
      <c r="Q58" s="156">
        <f t="shared" si="12"/>
        <v>2.5509618150979029E-2</v>
      </c>
    </row>
    <row r="59" spans="1:19" x14ac:dyDescent="0.35">
      <c r="J59" s="4"/>
      <c r="K59" s="84"/>
      <c r="L59" s="4"/>
      <c r="M59" s="84"/>
      <c r="N59" s="4"/>
      <c r="O59" s="84"/>
      <c r="P59" s="4"/>
    </row>
    <row r="60" spans="1:19" x14ac:dyDescent="0.35">
      <c r="J60" s="59"/>
      <c r="K60" s="76"/>
      <c r="L60" s="59"/>
      <c r="M60" s="76"/>
      <c r="N60" s="59"/>
      <c r="O60" s="76"/>
      <c r="P60" s="59"/>
    </row>
  </sheetData>
  <mergeCells count="1">
    <mergeCell ref="J3:P3"/>
  </mergeCell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58"/>
  <sheetViews>
    <sheetView zoomScale="70" zoomScaleNormal="70" workbookViewId="0">
      <pane xSplit="8" ySplit="2" topLeftCell="I3" activePane="bottomRight" state="frozen"/>
      <selection pane="topRight" activeCell="I1" sqref="I1"/>
      <selection pane="bottomLeft" activeCell="A3" sqref="A3"/>
      <selection pane="bottomRight" activeCell="Q44" sqref="Q44"/>
    </sheetView>
  </sheetViews>
  <sheetFormatPr defaultRowHeight="14.5" outlineLevelRow="2" x14ac:dyDescent="0.35"/>
  <cols>
    <col min="1" max="1" width="8.453125" style="1" customWidth="1"/>
    <col min="2" max="2" width="3.90625" customWidth="1"/>
    <col min="3" max="4" width="4.08984375" customWidth="1"/>
    <col min="8" max="8" width="20.36328125" customWidth="1"/>
    <col min="9" max="9" width="20.36328125" style="11" customWidth="1"/>
    <col min="10" max="10" width="19.54296875" bestFit="1" customWidth="1"/>
    <col min="11" max="11" width="10.08984375" style="58" customWidth="1"/>
    <col min="12" max="12" width="20.453125" bestFit="1" customWidth="1"/>
    <col min="13" max="13" width="10.08984375" style="58" customWidth="1"/>
    <col min="14" max="14" width="22.6328125" bestFit="1" customWidth="1"/>
    <col min="15" max="15" width="11.54296875" style="58" customWidth="1"/>
    <col min="16" max="16" width="22.6328125" customWidth="1"/>
    <col min="17" max="17" width="11" customWidth="1"/>
    <col min="18" max="18" width="17.08984375" bestFit="1" customWidth="1"/>
    <col min="19" max="19" width="16.90625" bestFit="1" customWidth="1"/>
    <col min="20" max="22" width="13.36328125" bestFit="1" customWidth="1"/>
    <col min="23" max="23" width="15" bestFit="1" customWidth="1"/>
    <col min="24" max="24" width="11.08984375" bestFit="1" customWidth="1"/>
  </cols>
  <sheetData>
    <row r="1" spans="1:19" x14ac:dyDescent="0.35">
      <c r="A1" s="3" t="s">
        <v>252</v>
      </c>
      <c r="I1" s="57"/>
      <c r="J1" s="797" t="s">
        <v>59</v>
      </c>
      <c r="K1" s="797"/>
      <c r="L1" s="797"/>
      <c r="M1" s="797"/>
      <c r="N1" s="797"/>
      <c r="O1" s="797"/>
      <c r="P1" s="797"/>
      <c r="Q1" s="57"/>
    </row>
    <row r="2" spans="1:19" x14ac:dyDescent="0.35">
      <c r="I2" s="57" t="s">
        <v>99</v>
      </c>
      <c r="J2" s="57">
        <v>1</v>
      </c>
      <c r="K2" s="97" t="s">
        <v>128</v>
      </c>
      <c r="L2" s="57">
        <v>10</v>
      </c>
      <c r="M2" s="97" t="s">
        <v>128</v>
      </c>
      <c r="N2" s="57">
        <v>50</v>
      </c>
      <c r="O2" s="97" t="s">
        <v>129</v>
      </c>
      <c r="P2" s="57">
        <v>100</v>
      </c>
      <c r="Q2" s="97" t="s">
        <v>129</v>
      </c>
      <c r="R2" s="57"/>
      <c r="S2" s="70"/>
    </row>
    <row r="3" spans="1:19" s="57" customFormat="1" x14ac:dyDescent="0.35">
      <c r="A3" s="70">
        <v>1</v>
      </c>
      <c r="B3" s="57" t="s">
        <v>0</v>
      </c>
      <c r="J3" s="88"/>
      <c r="K3" s="88"/>
      <c r="L3" s="88"/>
      <c r="M3" s="88"/>
      <c r="N3" s="88"/>
      <c r="O3" s="88"/>
      <c r="P3" s="88"/>
    </row>
    <row r="4" spans="1:19" s="57" customFormat="1" x14ac:dyDescent="0.35">
      <c r="A4" s="70">
        <v>1.1000000000000001</v>
      </c>
      <c r="C4" s="57" t="s">
        <v>88</v>
      </c>
      <c r="J4" s="357">
        <f>J5+J10+J11</f>
        <v>4722515.1014999999</v>
      </c>
      <c r="K4" s="86">
        <f t="shared" ref="K4:K42" si="0">J4/$J$46</f>
        <v>0.22076283056933182</v>
      </c>
      <c r="L4" s="357">
        <f>L5+L10+L11</f>
        <v>9528379.8470915146</v>
      </c>
      <c r="M4" s="86">
        <f t="shared" ref="M4:M42" si="1">L4/$L$46</f>
        <v>0.1062603805314057</v>
      </c>
      <c r="N4" s="357">
        <f>N5+N10+N11</f>
        <v>12821424.773172412</v>
      </c>
      <c r="O4" s="86">
        <f t="shared" ref="O4:O42" si="2">N4/$N$46</f>
        <v>4.1479409572297066E-2</v>
      </c>
      <c r="P4" s="357">
        <f>P5+P10+P11</f>
        <v>12336498.886451699</v>
      </c>
      <c r="Q4" s="92">
        <f t="shared" ref="Q4:Q42" si="3">P4/$P$46</f>
        <v>2.209770477697752E-2</v>
      </c>
      <c r="R4" s="118"/>
      <c r="S4" s="118"/>
    </row>
    <row r="5" spans="1:19" outlineLevel="1" x14ac:dyDescent="0.35">
      <c r="A5" s="1" t="s">
        <v>2</v>
      </c>
      <c r="D5" t="s">
        <v>1</v>
      </c>
      <c r="J5" s="661">
        <f>SUM(J6:J9)</f>
        <v>3602500</v>
      </c>
      <c r="K5" s="663">
        <f t="shared" si="0"/>
        <v>0.16840562285833865</v>
      </c>
      <c r="L5" s="661">
        <f>SUM(L6:L9)</f>
        <v>6860000</v>
      </c>
      <c r="M5" s="663">
        <f t="shared" si="1"/>
        <v>7.6502639708255327E-2</v>
      </c>
      <c r="N5" s="661">
        <f>SUM(N6:N9)</f>
        <v>7017500</v>
      </c>
      <c r="O5" s="663">
        <f t="shared" si="2"/>
        <v>2.2702762120685293E-2</v>
      </c>
      <c r="P5" s="661">
        <f>SUM(P6:P9)</f>
        <v>7017500</v>
      </c>
      <c r="Q5" s="664">
        <f t="shared" si="3"/>
        <v>1.2570069085220185E-2</v>
      </c>
      <c r="R5" s="62"/>
    </row>
    <row r="6" spans="1:19" outlineLevel="2" x14ac:dyDescent="0.35">
      <c r="A6" s="1" t="s">
        <v>89</v>
      </c>
      <c r="E6" t="s">
        <v>3</v>
      </c>
      <c r="I6" s="59"/>
      <c r="J6" s="198">
        <f>'1.1'!E5</f>
        <v>335000</v>
      </c>
      <c r="K6" s="90">
        <f t="shared" si="0"/>
        <v>1.5660203652336835E-2</v>
      </c>
      <c r="L6" s="391">
        <f>'1.1'!F5</f>
        <v>425000</v>
      </c>
      <c r="M6" s="90">
        <f t="shared" si="1"/>
        <v>4.7395950256572178E-3</v>
      </c>
      <c r="N6" s="391">
        <f>'1.1'!G5</f>
        <v>425000</v>
      </c>
      <c r="O6" s="90">
        <f t="shared" si="2"/>
        <v>1.3749446243379051E-3</v>
      </c>
      <c r="P6" s="391">
        <f>'1.1'!H5</f>
        <v>425000</v>
      </c>
      <c r="Q6" s="87">
        <f t="shared" si="3"/>
        <v>7.6127956697094102E-4</v>
      </c>
    </row>
    <row r="7" spans="1:19" outlineLevel="2" x14ac:dyDescent="0.35">
      <c r="A7" s="1" t="s">
        <v>90</v>
      </c>
      <c r="E7" t="s">
        <v>5</v>
      </c>
      <c r="I7" s="59"/>
      <c r="J7" s="391">
        <f>'1.1'!E6</f>
        <v>1632500</v>
      </c>
      <c r="K7" s="90">
        <f t="shared" si="0"/>
        <v>7.6314276007283244E-2</v>
      </c>
      <c r="L7" s="391">
        <f>'1.1'!F6</f>
        <v>2850000</v>
      </c>
      <c r="M7" s="90">
        <f t="shared" si="1"/>
        <v>3.1783166642642517E-2</v>
      </c>
      <c r="N7" s="391">
        <f>'1.1'!G6</f>
        <v>2782500</v>
      </c>
      <c r="O7" s="90">
        <f t="shared" si="2"/>
        <v>9.0018433346358145E-3</v>
      </c>
      <c r="P7" s="391">
        <f>'1.1'!H6</f>
        <v>2782500</v>
      </c>
      <c r="Q7" s="87">
        <f t="shared" si="3"/>
        <v>4.984142106109749E-3</v>
      </c>
      <c r="R7" s="62"/>
    </row>
    <row r="8" spans="1:19" outlineLevel="2" x14ac:dyDescent="0.35">
      <c r="A8" s="1" t="s">
        <v>91</v>
      </c>
      <c r="E8" t="s">
        <v>7</v>
      </c>
      <c r="I8" s="59"/>
      <c r="J8" s="391">
        <f>'1.1'!E7</f>
        <v>710000</v>
      </c>
      <c r="K8" s="90">
        <f t="shared" si="0"/>
        <v>3.3190282367639268E-2</v>
      </c>
      <c r="L8" s="391">
        <f>'1.1'!F7</f>
        <v>2270000</v>
      </c>
      <c r="M8" s="90">
        <f t="shared" si="1"/>
        <v>2.5315013431157374E-2</v>
      </c>
      <c r="N8" s="391">
        <f>'1.1'!G7</f>
        <v>2270000</v>
      </c>
      <c r="O8" s="90">
        <f t="shared" si="2"/>
        <v>7.3438218758753995E-3</v>
      </c>
      <c r="P8" s="391">
        <f>'1.1'!H7</f>
        <v>2270000</v>
      </c>
      <c r="Q8" s="87">
        <f t="shared" si="3"/>
        <v>4.0661285106447908E-3</v>
      </c>
    </row>
    <row r="9" spans="1:19" outlineLevel="2" x14ac:dyDescent="0.35">
      <c r="A9" s="1" t="s">
        <v>92</v>
      </c>
      <c r="E9" t="s">
        <v>8</v>
      </c>
      <c r="I9" s="59"/>
      <c r="J9" s="391">
        <f>'1.1'!E8</f>
        <v>925000</v>
      </c>
      <c r="K9" s="90">
        <f t="shared" si="0"/>
        <v>4.3240860831079322E-2</v>
      </c>
      <c r="L9" s="391">
        <f>'1.1'!F8</f>
        <v>1315000</v>
      </c>
      <c r="M9" s="90">
        <f t="shared" si="1"/>
        <v>1.4664864608798215E-2</v>
      </c>
      <c r="N9" s="391">
        <f>'1.1'!G8</f>
        <v>1540000</v>
      </c>
      <c r="O9" s="90">
        <f t="shared" si="2"/>
        <v>4.9821522858361743E-3</v>
      </c>
      <c r="P9" s="391">
        <f>'1.1'!H8</f>
        <v>1540000</v>
      </c>
      <c r="Q9" s="87">
        <f t="shared" si="3"/>
        <v>2.7585189014947037E-3</v>
      </c>
    </row>
    <row r="10" spans="1:19" s="11" customFormat="1" outlineLevel="1" x14ac:dyDescent="0.35">
      <c r="A10" s="1" t="s">
        <v>4</v>
      </c>
      <c r="D10" s="11" t="s">
        <v>93</v>
      </c>
      <c r="I10" s="59"/>
      <c r="J10" s="391">
        <f>'1.1'!E9</f>
        <v>193963</v>
      </c>
      <c r="K10" s="90">
        <f t="shared" si="0"/>
        <v>9.0671644209498799E-3</v>
      </c>
      <c r="L10" s="391">
        <f>'1.1'!F9</f>
        <v>294061</v>
      </c>
      <c r="M10" s="90">
        <f t="shared" si="1"/>
        <v>3.2793648302112638E-3</v>
      </c>
      <c r="N10" s="391">
        <f>'1.1'!G9</f>
        <v>294061</v>
      </c>
      <c r="O10" s="90">
        <f t="shared" si="2"/>
        <v>9.5133550865277353E-4</v>
      </c>
      <c r="P10" s="391">
        <f>'1.1'!H9</f>
        <v>294061</v>
      </c>
      <c r="Q10" s="87">
        <f t="shared" si="3"/>
        <v>5.2673560174833385E-4</v>
      </c>
    </row>
    <row r="11" spans="1:19" s="11" customFormat="1" outlineLevel="1" x14ac:dyDescent="0.35">
      <c r="A11" s="1" t="s">
        <v>6</v>
      </c>
      <c r="D11" s="11" t="s">
        <v>146</v>
      </c>
      <c r="I11" s="59"/>
      <c r="J11" s="391">
        <f>'1.1'!E10</f>
        <v>926052.10150000011</v>
      </c>
      <c r="K11" s="90">
        <f t="shared" si="0"/>
        <v>4.3290043290043295E-2</v>
      </c>
      <c r="L11" s="391">
        <f>'1.1'!F10</f>
        <v>2374318.8470915137</v>
      </c>
      <c r="M11" s="90">
        <f t="shared" si="1"/>
        <v>2.6478375992939101E-2</v>
      </c>
      <c r="N11" s="391">
        <f>'1.1'!G10</f>
        <v>5509863.7731724121</v>
      </c>
      <c r="O11" s="90">
        <f t="shared" si="2"/>
        <v>1.7825311942958999E-2</v>
      </c>
      <c r="P11" s="391">
        <f>'1.1'!H10</f>
        <v>5024937.8864516998</v>
      </c>
      <c r="Q11" s="87">
        <f t="shared" si="3"/>
        <v>9.0009000900090012E-3</v>
      </c>
    </row>
    <row r="12" spans="1:19" s="57" customFormat="1" x14ac:dyDescent="0.35">
      <c r="A12" s="70">
        <v>1.2</v>
      </c>
      <c r="C12" s="57" t="s">
        <v>10</v>
      </c>
      <c r="I12" s="79"/>
      <c r="J12" s="68">
        <f>SUM(J13:J17)</f>
        <v>990000</v>
      </c>
      <c r="K12" s="86">
        <f t="shared" si="0"/>
        <v>4.6279407808398412E-2</v>
      </c>
      <c r="L12" s="357">
        <f>SUM(L13:L17)</f>
        <v>4860000</v>
      </c>
      <c r="M12" s="86">
        <f t="shared" si="1"/>
        <v>5.419866311692724E-2</v>
      </c>
      <c r="N12" s="357">
        <f>SUM(N13:N17)</f>
        <v>7566000</v>
      </c>
      <c r="O12" s="86">
        <f t="shared" si="2"/>
        <v>2.4477249477036684E-2</v>
      </c>
      <c r="P12" s="357">
        <f>SUM(P13:P17)</f>
        <v>17310000</v>
      </c>
      <c r="Q12" s="92">
        <f t="shared" si="3"/>
        <v>3.1006468951216445E-2</v>
      </c>
    </row>
    <row r="13" spans="1:19" outlineLevel="1" x14ac:dyDescent="0.35">
      <c r="A13" s="1" t="s">
        <v>9</v>
      </c>
      <c r="D13" t="str">
        <f>'1.2'!C4</f>
        <v>Subsea Cables</v>
      </c>
      <c r="I13" s="59"/>
      <c r="J13" s="4">
        <f>'1.2'!E4</f>
        <v>900000</v>
      </c>
      <c r="K13" s="90">
        <f t="shared" si="0"/>
        <v>4.2072188916725831E-2</v>
      </c>
      <c r="L13" s="391">
        <f>'1.2'!F4</f>
        <v>900000</v>
      </c>
      <c r="M13" s="90">
        <f t="shared" si="1"/>
        <v>1.0036789466097637E-2</v>
      </c>
      <c r="N13" s="391">
        <f>'1.2'!G4</f>
        <v>3360000</v>
      </c>
      <c r="O13" s="90">
        <f t="shared" si="2"/>
        <v>1.0870150441824379E-2</v>
      </c>
      <c r="P13" s="391">
        <f>'1.2'!H4</f>
        <v>8700000</v>
      </c>
      <c r="Q13" s="87">
        <f t="shared" si="3"/>
        <v>1.5583840547405145E-2</v>
      </c>
    </row>
    <row r="14" spans="1:19" outlineLevel="1" x14ac:dyDescent="0.35">
      <c r="A14" s="1" t="s">
        <v>11</v>
      </c>
      <c r="D14" s="430" t="str">
        <f>'1.2'!C5</f>
        <v>Terminations and Connectors</v>
      </c>
      <c r="I14" s="59"/>
      <c r="J14" s="391">
        <f>'1.2'!E5</f>
        <v>90000</v>
      </c>
      <c r="K14" s="90">
        <f t="shared" si="0"/>
        <v>4.2072188916725825E-3</v>
      </c>
      <c r="L14" s="391">
        <f>'1.2'!F5</f>
        <v>90000</v>
      </c>
      <c r="M14" s="90">
        <f t="shared" si="1"/>
        <v>1.0036789466097637E-3</v>
      </c>
      <c r="N14" s="391">
        <f>'1.2'!G5</f>
        <v>336000</v>
      </c>
      <c r="O14" s="90">
        <f t="shared" si="2"/>
        <v>1.0870150441824379E-3</v>
      </c>
      <c r="P14" s="391">
        <f>'1.2'!H5</f>
        <v>870000</v>
      </c>
      <c r="Q14" s="87">
        <f t="shared" si="3"/>
        <v>1.5583840547405145E-3</v>
      </c>
    </row>
    <row r="15" spans="1:19" outlineLevel="1" x14ac:dyDescent="0.35">
      <c r="A15" s="1" t="s">
        <v>13</v>
      </c>
      <c r="D15" s="430" t="str">
        <f>'1.2'!C6</f>
        <v>Dockside Improvements</v>
      </c>
      <c r="I15" s="59"/>
      <c r="J15" s="391">
        <f>'1.2'!E6</f>
        <v>0</v>
      </c>
      <c r="K15" s="90">
        <f t="shared" si="0"/>
        <v>0</v>
      </c>
      <c r="L15" s="391">
        <f>'1.2'!F6</f>
        <v>0</v>
      </c>
      <c r="M15" s="90">
        <f t="shared" si="1"/>
        <v>0</v>
      </c>
      <c r="N15" s="391">
        <f>'1.2'!G6</f>
        <v>0</v>
      </c>
      <c r="O15" s="90">
        <f t="shared" si="2"/>
        <v>0</v>
      </c>
      <c r="P15" s="391">
        <f>'1.2'!H6</f>
        <v>0</v>
      </c>
      <c r="Q15" s="87">
        <f t="shared" si="3"/>
        <v>0</v>
      </c>
    </row>
    <row r="16" spans="1:19" outlineLevel="1" x14ac:dyDescent="0.35">
      <c r="A16" s="1" t="s">
        <v>15</v>
      </c>
      <c r="D16" s="430" t="str">
        <f>'1.2'!C7</f>
        <v>Dedicated O&amp;M Vessel</v>
      </c>
      <c r="I16" s="59"/>
      <c r="J16" s="391">
        <f>'1.2'!E7</f>
        <v>0</v>
      </c>
      <c r="K16" s="90">
        <f t="shared" si="0"/>
        <v>0</v>
      </c>
      <c r="L16" s="391">
        <f>'1.2'!F7</f>
        <v>3870000</v>
      </c>
      <c r="M16" s="90">
        <f t="shared" si="1"/>
        <v>4.3158194704219839E-2</v>
      </c>
      <c r="N16" s="391">
        <f>'1.2'!G7</f>
        <v>3870000</v>
      </c>
      <c r="O16" s="90">
        <f t="shared" si="2"/>
        <v>1.2520083991029865E-2</v>
      </c>
      <c r="P16" s="391">
        <f>'1.2'!H7</f>
        <v>7740000</v>
      </c>
      <c r="Q16" s="87">
        <f t="shared" si="3"/>
        <v>1.3864244349070784E-2</v>
      </c>
    </row>
    <row r="17" spans="1:27" outlineLevel="1" x14ac:dyDescent="0.35">
      <c r="A17" s="1" t="s">
        <v>16</v>
      </c>
      <c r="D17" s="430" t="str">
        <f>'1.2'!C8</f>
        <v>Other</v>
      </c>
      <c r="I17" s="59"/>
      <c r="J17" s="391">
        <f>'1.2'!E8</f>
        <v>0</v>
      </c>
      <c r="K17" s="90">
        <f t="shared" si="0"/>
        <v>0</v>
      </c>
      <c r="L17" s="391">
        <f>'1.2'!F8</f>
        <v>0</v>
      </c>
      <c r="M17" s="90">
        <f t="shared" si="1"/>
        <v>0</v>
      </c>
      <c r="N17" s="391">
        <f>'1.2'!G8</f>
        <v>0</v>
      </c>
      <c r="O17" s="90">
        <f t="shared" si="2"/>
        <v>0</v>
      </c>
      <c r="P17" s="391">
        <f>'1.2'!H8</f>
        <v>0</v>
      </c>
      <c r="Q17" s="87">
        <f t="shared" si="3"/>
        <v>0</v>
      </c>
      <c r="W17" s="43"/>
    </row>
    <row r="18" spans="1:27" s="57" customFormat="1" x14ac:dyDescent="0.35">
      <c r="A18" s="70">
        <v>1.3</v>
      </c>
      <c r="C18" s="57" t="s">
        <v>18</v>
      </c>
      <c r="I18" s="79"/>
      <c r="J18" s="68">
        <f>SUM(J19:J23)</f>
        <v>524775</v>
      </c>
      <c r="K18" s="86">
        <f t="shared" si="0"/>
        <v>2.4531592154194218E-2</v>
      </c>
      <c r="L18" s="357">
        <f>SUM(L19:L23)</f>
        <v>4722975</v>
      </c>
      <c r="M18" s="86">
        <f t="shared" si="1"/>
        <v>5.2670561920713878E-2</v>
      </c>
      <c r="N18" s="357">
        <f>SUM(N19:N23)</f>
        <v>23614875</v>
      </c>
      <c r="O18" s="86">
        <f t="shared" si="2"/>
        <v>7.6397989260380203E-2</v>
      </c>
      <c r="P18" s="357">
        <f>SUM(P19:P23)</f>
        <v>47229750</v>
      </c>
      <c r="Q18" s="92">
        <f t="shared" si="3"/>
        <v>8.4600102654460704E-2</v>
      </c>
    </row>
    <row r="19" spans="1:27" outlineLevel="1" x14ac:dyDescent="0.35">
      <c r="A19" s="1" t="s">
        <v>19</v>
      </c>
      <c r="D19" t="str">
        <f>'1.3'!C4</f>
        <v>Mooring lines/chain</v>
      </c>
      <c r="I19" s="59"/>
      <c r="J19" s="4">
        <f>'1.3'!E4</f>
        <v>182475</v>
      </c>
      <c r="K19" s="90">
        <f t="shared" si="0"/>
        <v>8.5301363028661616E-3</v>
      </c>
      <c r="L19" s="391">
        <f>'1.3'!F4</f>
        <v>1642275</v>
      </c>
      <c r="M19" s="90">
        <f t="shared" si="1"/>
        <v>1.8314631578261666E-2</v>
      </c>
      <c r="N19" s="391">
        <f>'1.3'!G4</f>
        <v>8211375</v>
      </c>
      <c r="O19" s="90">
        <f t="shared" si="2"/>
        <v>2.6565143328641568E-2</v>
      </c>
      <c r="P19" s="391">
        <f>'1.3'!H4</f>
        <v>16422750</v>
      </c>
      <c r="Q19" s="87">
        <f t="shared" si="3"/>
        <v>2.9417185902287108E-2</v>
      </c>
    </row>
    <row r="20" spans="1:27" outlineLevel="1" x14ac:dyDescent="0.35">
      <c r="A20" s="1" t="s">
        <v>21</v>
      </c>
      <c r="D20" s="430" t="str">
        <f>'1.3'!C5</f>
        <v>Anchors</v>
      </c>
      <c r="I20" s="59"/>
      <c r="J20" s="391">
        <f>'1.3'!E5</f>
        <v>180000</v>
      </c>
      <c r="K20" s="90">
        <f t="shared" si="0"/>
        <v>8.4144377833451651E-3</v>
      </c>
      <c r="L20" s="391">
        <f>'1.3'!F5</f>
        <v>1620000</v>
      </c>
      <c r="M20" s="90">
        <f t="shared" si="1"/>
        <v>1.8066221038975747E-2</v>
      </c>
      <c r="N20" s="391">
        <f>'1.3'!G5</f>
        <v>8100000</v>
      </c>
      <c r="O20" s="90">
        <f t="shared" si="2"/>
        <v>2.6204826957969485E-2</v>
      </c>
      <c r="P20" s="391">
        <f>'1.3'!H5</f>
        <v>16200000</v>
      </c>
      <c r="Q20" s="87">
        <f t="shared" si="3"/>
        <v>2.9018185846892339E-2</v>
      </c>
    </row>
    <row r="21" spans="1:27" outlineLevel="1" x14ac:dyDescent="0.35">
      <c r="A21" s="1" t="s">
        <v>23</v>
      </c>
      <c r="D21" s="430" t="str">
        <f>'1.3'!C6</f>
        <v>Buoyancy</v>
      </c>
      <c r="I21" s="59"/>
      <c r="J21" s="391">
        <f>'1.3'!E6</f>
        <v>60000</v>
      </c>
      <c r="K21" s="90">
        <f t="shared" si="0"/>
        <v>2.8048125944483884E-3</v>
      </c>
      <c r="L21" s="391">
        <f>'1.3'!F6</f>
        <v>540000</v>
      </c>
      <c r="M21" s="90">
        <f t="shared" si="1"/>
        <v>6.0220736796585822E-3</v>
      </c>
      <c r="N21" s="391">
        <f>'1.3'!G6</f>
        <v>2700000</v>
      </c>
      <c r="O21" s="90">
        <f t="shared" si="2"/>
        <v>8.7349423193231624E-3</v>
      </c>
      <c r="P21" s="391">
        <f>'1.3'!H6</f>
        <v>5400000</v>
      </c>
      <c r="Q21" s="87">
        <f t="shared" si="3"/>
        <v>9.6727286156307792E-3</v>
      </c>
    </row>
    <row r="22" spans="1:27" outlineLevel="1" x14ac:dyDescent="0.35">
      <c r="A22" s="1" t="s">
        <v>24</v>
      </c>
      <c r="D22" s="516" t="str">
        <f>'1.3'!C7</f>
        <v>Connecting Hardware (shackles etc.)</v>
      </c>
      <c r="I22" s="59"/>
      <c r="J22" s="391">
        <f>'1.3'!E7</f>
        <v>102300</v>
      </c>
      <c r="K22" s="90">
        <f t="shared" si="0"/>
        <v>4.7822054735345027E-3</v>
      </c>
      <c r="L22" s="391">
        <f>'1.3'!F7</f>
        <v>920700</v>
      </c>
      <c r="M22" s="90">
        <f t="shared" si="1"/>
        <v>1.0267635623817883E-2</v>
      </c>
      <c r="N22" s="391">
        <f>'1.3'!G7</f>
        <v>4603500</v>
      </c>
      <c r="O22" s="90">
        <f t="shared" si="2"/>
        <v>1.4893076654445992E-2</v>
      </c>
      <c r="P22" s="391">
        <f>'1.3'!H7</f>
        <v>9207000</v>
      </c>
      <c r="Q22" s="87">
        <f t="shared" si="3"/>
        <v>1.6492002289650479E-2</v>
      </c>
      <c r="R22" s="18"/>
    </row>
    <row r="23" spans="1:27" outlineLevel="1" x14ac:dyDescent="0.35">
      <c r="A23" s="1" t="s">
        <v>26</v>
      </c>
      <c r="D23" s="516" t="str">
        <f>'1.3'!C8</f>
        <v>Other</v>
      </c>
      <c r="I23" s="59"/>
      <c r="J23" s="391">
        <f>'1.3'!E8</f>
        <v>0</v>
      </c>
      <c r="K23" s="90">
        <f t="shared" si="0"/>
        <v>0</v>
      </c>
      <c r="L23" s="391">
        <f>'1.3'!F8</f>
        <v>0</v>
      </c>
      <c r="M23" s="90">
        <f t="shared" si="1"/>
        <v>0</v>
      </c>
      <c r="N23" s="391">
        <f>'1.3'!G8</f>
        <v>0</v>
      </c>
      <c r="O23" s="90">
        <f t="shared" si="2"/>
        <v>0</v>
      </c>
      <c r="P23" s="391">
        <f>'1.3'!H8</f>
        <v>0</v>
      </c>
      <c r="Q23" s="87">
        <f t="shared" si="3"/>
        <v>0</v>
      </c>
      <c r="R23" s="8"/>
      <c r="S23" s="8"/>
      <c r="T23" s="8"/>
      <c r="U23" s="8"/>
    </row>
    <row r="24" spans="1:27" s="57" customFormat="1" x14ac:dyDescent="0.35">
      <c r="A24" s="70">
        <v>1.4</v>
      </c>
      <c r="C24" s="57" t="s">
        <v>27</v>
      </c>
      <c r="I24" s="116">
        <f>I25+I26</f>
        <v>455</v>
      </c>
      <c r="J24" s="68">
        <f>SUM(J25:J26)</f>
        <v>5265750</v>
      </c>
      <c r="K24" s="86">
        <f t="shared" si="0"/>
        <v>0.24615736532027671</v>
      </c>
      <c r="L24" s="357">
        <f>SUM(L25:L26)</f>
        <v>37796356.245682612</v>
      </c>
      <c r="M24" s="86">
        <f t="shared" si="1"/>
        <v>0.421504522470601</v>
      </c>
      <c r="N24" s="357">
        <f>SUM(N25:N26)</f>
        <v>149885995.31062704</v>
      </c>
      <c r="O24" s="86">
        <f t="shared" si="2"/>
        <v>0.48490574944913672</v>
      </c>
      <c r="P24" s="357">
        <f>SUM(P25:P26)</f>
        <v>271293651.51223493</v>
      </c>
      <c r="Q24" s="92">
        <f t="shared" si="3"/>
        <v>0.48595367892988139</v>
      </c>
      <c r="R24" s="95"/>
      <c r="S24" s="95"/>
      <c r="T24" s="95"/>
      <c r="U24" s="95"/>
      <c r="V24" s="96"/>
      <c r="W24" s="95"/>
      <c r="X24" s="95"/>
      <c r="Y24" s="95"/>
    </row>
    <row r="25" spans="1:27" s="6" customFormat="1" outlineLevel="1" x14ac:dyDescent="0.35">
      <c r="A25" s="1" t="s">
        <v>28</v>
      </c>
      <c r="D25" s="6" t="str">
        <f>'1.4'!D4</f>
        <v>OE Buoy Hull (50m x 40m)</v>
      </c>
      <c r="I25" s="117">
        <v>425</v>
      </c>
      <c r="J25" s="84">
        <f>'1.4'!E4</f>
        <v>5015000</v>
      </c>
      <c r="K25" s="90">
        <f t="shared" si="0"/>
        <v>0.23443558601931114</v>
      </c>
      <c r="L25" s="359">
        <f>'1.4'!F4</f>
        <v>35996529.757792965</v>
      </c>
      <c r="M25" s="90">
        <f t="shared" si="1"/>
        <v>0.40143287854342952</v>
      </c>
      <c r="N25" s="359">
        <f>'1.4'!G4</f>
        <v>142748566.96250194</v>
      </c>
      <c r="O25" s="90">
        <f t="shared" si="2"/>
        <v>0.4618149994753683</v>
      </c>
      <c r="P25" s="661">
        <f>'1.4'!H4</f>
        <v>258374906.20212853</v>
      </c>
      <c r="Q25" s="87">
        <f t="shared" si="3"/>
        <v>0.462813027552268</v>
      </c>
      <c r="R25" s="10"/>
      <c r="S25" s="10"/>
      <c r="T25" s="10"/>
      <c r="U25" s="10"/>
      <c r="V25" s="8"/>
      <c r="W25" s="8"/>
      <c r="X25" s="8"/>
      <c r="Y25" s="8"/>
      <c r="AA25" s="18"/>
    </row>
    <row r="26" spans="1:27" outlineLevel="1" x14ac:dyDescent="0.35">
      <c r="A26" s="436" t="s">
        <v>29</v>
      </c>
      <c r="D26" s="430" t="str">
        <f>'1.4'!D5</f>
        <v>Device Access (Railings, Ladders, etc)</v>
      </c>
      <c r="I26" s="117">
        <v>30</v>
      </c>
      <c r="J26" s="359">
        <f>'1.4'!E5</f>
        <v>250750</v>
      </c>
      <c r="K26" s="90">
        <f t="shared" si="0"/>
        <v>1.1721779300965558E-2</v>
      </c>
      <c r="L26" s="359">
        <f>'1.4'!F5</f>
        <v>1799826.4878896484</v>
      </c>
      <c r="M26" s="90">
        <f t="shared" si="1"/>
        <v>2.0071643927171479E-2</v>
      </c>
      <c r="N26" s="359">
        <f>'1.4'!G5</f>
        <v>7137428.3481250964</v>
      </c>
      <c r="O26" s="90">
        <f t="shared" si="2"/>
        <v>2.3090749973768414E-2</v>
      </c>
      <c r="P26" s="661">
        <f>'1.4'!H5</f>
        <v>12918745.310106426</v>
      </c>
      <c r="Q26" s="87">
        <f t="shared" si="3"/>
        <v>2.3140651377613401E-2</v>
      </c>
    </row>
    <row r="27" spans="1:27" s="57" customFormat="1" x14ac:dyDescent="0.35">
      <c r="A27" s="70">
        <v>1.5</v>
      </c>
      <c r="C27" s="57" t="s">
        <v>31</v>
      </c>
      <c r="I27" s="116">
        <v>20</v>
      </c>
      <c r="J27" s="85">
        <f>SUM(J28:J34)</f>
        <v>1324072</v>
      </c>
      <c r="K27" s="86">
        <f t="shared" si="0"/>
        <v>6.1896230359274447E-2</v>
      </c>
      <c r="L27" s="360">
        <f>SUM(L28:L34)</f>
        <v>10251511.858100632</v>
      </c>
      <c r="M27" s="86">
        <f t="shared" si="1"/>
        <v>0.11432474025439938</v>
      </c>
      <c r="N27" s="360">
        <f>SUM(N28:N34)</f>
        <v>43848586.308320969</v>
      </c>
      <c r="O27" s="86">
        <f t="shared" si="2"/>
        <v>0.14185736006927668</v>
      </c>
      <c r="P27" s="360">
        <f>SUM(P28:P34)</f>
        <v>81488086.660141796</v>
      </c>
      <c r="Q27" s="92">
        <f t="shared" si="3"/>
        <v>0.14596521253158415</v>
      </c>
    </row>
    <row r="28" spans="1:27" outlineLevel="1" x14ac:dyDescent="0.35">
      <c r="A28" s="1" t="s">
        <v>32</v>
      </c>
      <c r="D28" t="str">
        <f>'1.5'!E4</f>
        <v>Generator</v>
      </c>
      <c r="I28" s="117"/>
      <c r="J28" s="4">
        <f>'1.5'!F4</f>
        <v>70060</v>
      </c>
      <c r="K28" s="90">
        <f t="shared" si="0"/>
        <v>3.2750861727842352E-3</v>
      </c>
      <c r="L28" s="391">
        <f>'1.5'!G4</f>
        <v>590839.5402590991</v>
      </c>
      <c r="M28" s="90">
        <f t="shared" si="1"/>
        <v>6.5890356375849961E-3</v>
      </c>
      <c r="N28" s="391">
        <f>'1.5'!H4</f>
        <v>2622499.2287331438</v>
      </c>
      <c r="O28" s="90">
        <f t="shared" si="2"/>
        <v>8.4842146279457374E-3</v>
      </c>
      <c r="P28" s="391">
        <f>'1.5'!I4</f>
        <v>4982748.5345929731</v>
      </c>
      <c r="Q28" s="87">
        <f t="shared" si="3"/>
        <v>8.9253285805647748E-3</v>
      </c>
    </row>
    <row r="29" spans="1:27" outlineLevel="1" x14ac:dyDescent="0.35">
      <c r="A29" s="1" t="s">
        <v>34</v>
      </c>
      <c r="D29" s="455" t="str">
        <f>'1.5'!E5</f>
        <v>Frequency Converter</v>
      </c>
      <c r="I29" s="667"/>
      <c r="J29" s="391">
        <f>'1.5'!F5</f>
        <v>300000</v>
      </c>
      <c r="K29" s="90">
        <f t="shared" si="0"/>
        <v>1.4024062972241944E-2</v>
      </c>
      <c r="L29" s="391">
        <f>'1.5'!G5</f>
        <v>2530000.8860652265</v>
      </c>
      <c r="M29" s="90">
        <f t="shared" si="1"/>
        <v>2.821454026941906E-2</v>
      </c>
      <c r="N29" s="391">
        <f>'1.5'!H5</f>
        <v>11229656.988580404</v>
      </c>
      <c r="O29" s="90">
        <f t="shared" si="2"/>
        <v>3.6329780022605208E-2</v>
      </c>
      <c r="P29" s="391">
        <f>'1.5'!I5</f>
        <v>21336348.278302766</v>
      </c>
      <c r="Q29" s="87">
        <f t="shared" si="3"/>
        <v>3.8218649360111795E-2</v>
      </c>
    </row>
    <row r="30" spans="1:27" outlineLevel="1" x14ac:dyDescent="0.35">
      <c r="A30" s="1" t="s">
        <v>35</v>
      </c>
      <c r="D30" s="455" t="str">
        <f>'1.5'!E6</f>
        <v>Step-up Transformer</v>
      </c>
      <c r="I30" s="667"/>
      <c r="J30" s="391">
        <f>'1.5'!F6</f>
        <v>200000</v>
      </c>
      <c r="K30" s="90">
        <f t="shared" si="0"/>
        <v>9.3493753148279624E-3</v>
      </c>
      <c r="L30" s="391">
        <f>'1.5'!G6</f>
        <v>1686667.2573768175</v>
      </c>
      <c r="M30" s="90">
        <f t="shared" si="1"/>
        <v>1.8809693512946039E-2</v>
      </c>
      <c r="N30" s="391">
        <f>'1.5'!H6</f>
        <v>7486437.9923869362</v>
      </c>
      <c r="O30" s="90">
        <f t="shared" si="2"/>
        <v>2.4219853348403476E-2</v>
      </c>
      <c r="P30" s="391">
        <f>'1.5'!I6</f>
        <v>14224232.185535176</v>
      </c>
      <c r="Q30" s="87">
        <f t="shared" si="3"/>
        <v>2.5479099573407861E-2</v>
      </c>
    </row>
    <row r="31" spans="1:27" outlineLevel="1" x14ac:dyDescent="0.35">
      <c r="A31" s="1" t="s">
        <v>36</v>
      </c>
      <c r="D31" s="695" t="str">
        <f>'1.5'!E7</f>
        <v>Riser Cable</v>
      </c>
      <c r="I31" s="667"/>
      <c r="J31" s="391">
        <f>'1.5'!F7</f>
        <v>50000</v>
      </c>
      <c r="K31" s="90">
        <f t="shared" si="0"/>
        <v>2.3373438287069906E-3</v>
      </c>
      <c r="L31" s="391">
        <f>'1.5'!G7</f>
        <v>500000</v>
      </c>
      <c r="M31" s="90">
        <f t="shared" si="1"/>
        <v>5.5759941478320208E-3</v>
      </c>
      <c r="N31" s="391">
        <f>'1.5'!H7</f>
        <v>2500000</v>
      </c>
      <c r="O31" s="90">
        <f t="shared" si="2"/>
        <v>8.0879095549288536E-3</v>
      </c>
      <c r="P31" s="391">
        <f>'1.5'!I7</f>
        <v>5000000</v>
      </c>
      <c r="Q31" s="87">
        <f t="shared" si="3"/>
        <v>8.9562301996581294E-3</v>
      </c>
    </row>
    <row r="32" spans="1:27" outlineLevel="1" x14ac:dyDescent="0.35">
      <c r="A32" s="1" t="s">
        <v>39</v>
      </c>
      <c r="D32" s="695" t="str">
        <f>'1.5'!E8</f>
        <v>Hydro-Air Turbine</v>
      </c>
      <c r="I32" s="667"/>
      <c r="J32" s="391">
        <f>'1.5'!F8</f>
        <v>400000</v>
      </c>
      <c r="K32" s="90">
        <f t="shared" si="0"/>
        <v>1.8698750629655925E-2</v>
      </c>
      <c r="L32" s="391">
        <f>'1.5'!G8</f>
        <v>2818752.1980493842</v>
      </c>
      <c r="M32" s="90">
        <f t="shared" si="1"/>
        <v>3.1434691521024023E-2</v>
      </c>
      <c r="N32" s="391">
        <f>'1.5'!H8</f>
        <v>11035227.713900322</v>
      </c>
      <c r="O32" s="90">
        <f t="shared" si="2"/>
        <v>3.5700769467228041E-2</v>
      </c>
      <c r="P32" s="391">
        <f>'1.5'!I8</f>
        <v>19863409.88502058</v>
      </c>
      <c r="Q32" s="87">
        <f t="shared" si="3"/>
        <v>3.5580254296081824E-2</v>
      </c>
    </row>
    <row r="33" spans="1:17" outlineLevel="1" x14ac:dyDescent="0.35">
      <c r="A33" s="1" t="s">
        <v>41</v>
      </c>
      <c r="D33" s="695" t="str">
        <f>'1.5'!E9</f>
        <v>Assembly, Testing &amp; QA</v>
      </c>
      <c r="I33" s="667"/>
      <c r="J33" s="391">
        <f>'1.5'!F9</f>
        <v>204012</v>
      </c>
      <c r="K33" s="90">
        <f t="shared" si="0"/>
        <v>9.5369237836434115E-3</v>
      </c>
      <c r="L33" s="391">
        <f>'1.5'!G9</f>
        <v>1625251.9763501054</v>
      </c>
      <c r="M33" s="90">
        <f t="shared" si="1"/>
        <v>1.8124791017761228E-2</v>
      </c>
      <c r="N33" s="391">
        <f>'1.5'!H9</f>
        <v>6974764.3847201616</v>
      </c>
      <c r="O33" s="90">
        <f t="shared" si="2"/>
        <v>2.2564505404222265E-2</v>
      </c>
      <c r="P33" s="391">
        <f>'1.5'!I9</f>
        <v>13081347.776690299</v>
      </c>
      <c r="Q33" s="87">
        <f t="shared" si="3"/>
        <v>2.3431912401964877E-2</v>
      </c>
    </row>
    <row r="34" spans="1:17" outlineLevel="1" x14ac:dyDescent="0.35">
      <c r="A34" s="1" t="s">
        <v>43</v>
      </c>
      <c r="D34" s="695" t="str">
        <f>'1.5'!E10</f>
        <v>PTO mounting</v>
      </c>
      <c r="I34" s="667"/>
      <c r="J34" s="391">
        <f>'1.5'!F10</f>
        <v>100000</v>
      </c>
      <c r="K34" s="90">
        <f t="shared" si="0"/>
        <v>4.6746876574139812E-3</v>
      </c>
      <c r="L34" s="391">
        <f>'1.5'!G10</f>
        <v>500000</v>
      </c>
      <c r="M34" s="90">
        <f t="shared" si="1"/>
        <v>5.5759941478320208E-3</v>
      </c>
      <c r="N34" s="391">
        <f>'1.5'!H10</f>
        <v>2000000</v>
      </c>
      <c r="O34" s="90">
        <f t="shared" si="2"/>
        <v>6.4703276439430834E-3</v>
      </c>
      <c r="P34" s="391">
        <f>'1.5'!I10</f>
        <v>3000000</v>
      </c>
      <c r="Q34" s="87">
        <f t="shared" si="3"/>
        <v>5.3737381197948774E-3</v>
      </c>
    </row>
    <row r="35" spans="1:17" s="57" customFormat="1" x14ac:dyDescent="0.35">
      <c r="A35" s="70">
        <v>1.6</v>
      </c>
      <c r="C35" s="57" t="s">
        <v>61</v>
      </c>
      <c r="I35" s="79"/>
      <c r="J35" s="113">
        <f>(J27+J24+J18)*10%</f>
        <v>711459.70000000007</v>
      </c>
      <c r="K35" s="86">
        <f t="shared" si="0"/>
        <v>3.325851878337454E-2</v>
      </c>
      <c r="L35" s="666">
        <f>(L27+L24+L18)*10%</f>
        <v>5277084.3103783242</v>
      </c>
      <c r="M35" s="86">
        <f t="shared" si="1"/>
        <v>5.8849982464571425E-2</v>
      </c>
      <c r="N35" s="666">
        <f>(N27+N24+N18)*10%</f>
        <v>21734945.661894802</v>
      </c>
      <c r="O35" s="86">
        <f t="shared" si="2"/>
        <v>7.0316109877879368E-2</v>
      </c>
      <c r="P35" s="666">
        <f>(P27+P24+P18)*10%</f>
        <v>40001148.817237675</v>
      </c>
      <c r="Q35" s="92">
        <f t="shared" si="3"/>
        <v>7.1651899411592626E-2</v>
      </c>
    </row>
    <row r="36" spans="1:17" s="57" customFormat="1" x14ac:dyDescent="0.35">
      <c r="A36" s="70">
        <v>1.7</v>
      </c>
      <c r="C36" s="57" t="s">
        <v>44</v>
      </c>
      <c r="I36" s="79"/>
      <c r="J36" s="68">
        <f>SUM(J37:J42)</f>
        <v>5908522.3300000001</v>
      </c>
      <c r="K36" s="86">
        <f t="shared" si="0"/>
        <v>0.27620496409605899</v>
      </c>
      <c r="L36" s="357">
        <f>SUM(L37:L42)</f>
        <v>9081973.1555555556</v>
      </c>
      <c r="M36" s="86">
        <f t="shared" si="1"/>
        <v>0.10128205833229058</v>
      </c>
      <c r="N36" s="357">
        <f>SUM(N37:N42)</f>
        <v>21531225.377777778</v>
      </c>
      <c r="O36" s="86">
        <f t="shared" si="2"/>
        <v>6.965704138490221E-2</v>
      </c>
      <c r="P36" s="357">
        <f>SUM(P37:P42)</f>
        <v>37859590.655555554</v>
      </c>
      <c r="Q36" s="92">
        <f t="shared" si="3"/>
        <v>6.7815841835196275E-2</v>
      </c>
    </row>
    <row r="37" spans="1:17" outlineLevel="1" x14ac:dyDescent="0.35">
      <c r="A37" s="1" t="s">
        <v>62</v>
      </c>
      <c r="D37" t="str">
        <f>'1.7'!D5</f>
        <v>Transport to Staging Site</v>
      </c>
      <c r="I37" s="59"/>
      <c r="J37" s="4">
        <f>'1.7'!F5</f>
        <v>29750</v>
      </c>
      <c r="K37" s="90">
        <f t="shared" si="0"/>
        <v>1.3907195780806594E-3</v>
      </c>
      <c r="L37" s="4">
        <f>'1.7'!G5</f>
        <v>297500</v>
      </c>
      <c r="M37" s="90">
        <f t="shared" si="1"/>
        <v>3.3177165179600525E-3</v>
      </c>
      <c r="N37" s="4">
        <f>'1.7'!H5</f>
        <v>1487500</v>
      </c>
      <c r="O37" s="90">
        <f t="shared" si="2"/>
        <v>4.8123061851826684E-3</v>
      </c>
      <c r="P37" s="4">
        <f>'1.7'!I5</f>
        <v>2975000</v>
      </c>
      <c r="Q37" s="87">
        <f t="shared" si="3"/>
        <v>5.3289569687965874E-3</v>
      </c>
    </row>
    <row r="38" spans="1:17" outlineLevel="1" x14ac:dyDescent="0.35">
      <c r="A38" s="1" t="s">
        <v>63</v>
      </c>
      <c r="D38" s="455" t="str">
        <f>'1.7'!D6</f>
        <v>Cable Shore Landing</v>
      </c>
      <c r="I38" s="59"/>
      <c r="J38" s="391">
        <f>'1.7'!F6</f>
        <v>667000</v>
      </c>
      <c r="K38" s="90">
        <f t="shared" si="0"/>
        <v>3.1180166674951253E-2</v>
      </c>
      <c r="L38" s="391">
        <f>'1.7'!G6</f>
        <v>767200</v>
      </c>
      <c r="M38" s="90">
        <f t="shared" si="1"/>
        <v>8.5558054204334533E-3</v>
      </c>
      <c r="N38" s="391">
        <f>'1.7'!H6</f>
        <v>767200</v>
      </c>
      <c r="O38" s="90">
        <f t="shared" si="2"/>
        <v>2.4820176842165666E-3</v>
      </c>
      <c r="P38" s="391">
        <f>'1.7'!I6</f>
        <v>1534000</v>
      </c>
      <c r="Q38" s="87">
        <f t="shared" si="3"/>
        <v>2.7477714252551141E-3</v>
      </c>
    </row>
    <row r="39" spans="1:17" outlineLevel="1" x14ac:dyDescent="0.35">
      <c r="A39" s="1" t="s">
        <v>64</v>
      </c>
      <c r="D39" s="455" t="str">
        <f>'1.7'!D7</f>
        <v>Mooring/Foundation System</v>
      </c>
      <c r="I39" s="59"/>
      <c r="J39" s="391">
        <f>'1.7'!F7</f>
        <v>3193833.5500000003</v>
      </c>
      <c r="K39" s="90">
        <f t="shared" si="0"/>
        <v>0.14930174276019681</v>
      </c>
      <c r="L39" s="391">
        <f>'1.7'!G7</f>
        <v>3904558.5555555555</v>
      </c>
      <c r="M39" s="90">
        <f t="shared" si="1"/>
        <v>4.3543591311290451E-2</v>
      </c>
      <c r="N39" s="391">
        <f>'1.7'!H7</f>
        <v>7063960.777777778</v>
      </c>
      <c r="O39" s="90">
        <f t="shared" si="2"/>
        <v>2.285307034809262E-2</v>
      </c>
      <c r="P39" s="391">
        <f>'1.7'!I7</f>
        <v>11013213.555555556</v>
      </c>
      <c r="Q39" s="87">
        <f t="shared" si="3"/>
        <v>1.9727375168310191E-2</v>
      </c>
    </row>
    <row r="40" spans="1:17" outlineLevel="1" x14ac:dyDescent="0.35">
      <c r="A40" s="1" t="s">
        <v>65</v>
      </c>
      <c r="D40" s="455" t="str">
        <f>'1.7'!D8</f>
        <v>Cable Installation</v>
      </c>
      <c r="I40" s="59"/>
      <c r="J40" s="391">
        <f>'1.7'!F8</f>
        <v>1507533.78</v>
      </c>
      <c r="K40" s="90">
        <f t="shared" si="0"/>
        <v>7.0472495545006439E-2</v>
      </c>
      <c r="L40" s="391">
        <f>'1.7'!G8</f>
        <v>2280164.6</v>
      </c>
      <c r="M40" s="90">
        <f t="shared" si="1"/>
        <v>2.5428368931387481E-2</v>
      </c>
      <c r="N40" s="391">
        <f>'1.7'!H8</f>
        <v>4503814.5999999996</v>
      </c>
      <c r="O40" s="90">
        <f t="shared" si="2"/>
        <v>1.4570578054787229E-2</v>
      </c>
      <c r="P40" s="391">
        <f>'1.7'!I8</f>
        <v>7283377.0999999996</v>
      </c>
      <c r="Q40" s="87">
        <f t="shared" si="3"/>
        <v>1.3046320387703689E-2</v>
      </c>
    </row>
    <row r="41" spans="1:17" outlineLevel="1" x14ac:dyDescent="0.35">
      <c r="A41" s="1" t="s">
        <v>66</v>
      </c>
      <c r="D41" s="455" t="str">
        <f>'1.7'!D9</f>
        <v>Device Installation</v>
      </c>
      <c r="I41" s="59"/>
      <c r="J41" s="391">
        <f>'1.7'!F9</f>
        <v>255202.5</v>
      </c>
      <c r="K41" s="90">
        <f t="shared" si="0"/>
        <v>1.1929919768911914E-2</v>
      </c>
      <c r="L41" s="391">
        <f>'1.7'!G9</f>
        <v>916275</v>
      </c>
      <c r="M41" s="90">
        <f t="shared" si="1"/>
        <v>1.021828807560957E-2</v>
      </c>
      <c r="N41" s="391">
        <f>'1.7'!H9</f>
        <v>3854375</v>
      </c>
      <c r="O41" s="90">
        <f t="shared" si="2"/>
        <v>1.246953455631156E-2</v>
      </c>
      <c r="P41" s="391">
        <f>'1.7'!I9</f>
        <v>7527000</v>
      </c>
      <c r="Q41" s="87">
        <f t="shared" si="3"/>
        <v>1.3482708942565348E-2</v>
      </c>
    </row>
    <row r="42" spans="1:17" outlineLevel="1" x14ac:dyDescent="0.35">
      <c r="A42" s="1" t="s">
        <v>67</v>
      </c>
      <c r="D42" s="455" t="str">
        <f>'1.7'!D10</f>
        <v>Device Comissioning</v>
      </c>
      <c r="I42" s="59"/>
      <c r="J42" s="391">
        <f>'1.7'!F10</f>
        <v>255202.5</v>
      </c>
      <c r="K42" s="90">
        <f t="shared" si="0"/>
        <v>1.1929919768911914E-2</v>
      </c>
      <c r="L42" s="391">
        <f>'1.7'!G10</f>
        <v>916275</v>
      </c>
      <c r="M42" s="90">
        <f t="shared" si="1"/>
        <v>1.021828807560957E-2</v>
      </c>
      <c r="N42" s="391">
        <f>'1.7'!H10</f>
        <v>3854375</v>
      </c>
      <c r="O42" s="90">
        <f t="shared" si="2"/>
        <v>1.246953455631156E-2</v>
      </c>
      <c r="P42" s="391">
        <f>'1.7'!I10</f>
        <v>7527000</v>
      </c>
      <c r="Q42" s="87">
        <f t="shared" si="3"/>
        <v>1.3482708942565348E-2</v>
      </c>
    </row>
    <row r="43" spans="1:17" s="76" customFormat="1" x14ac:dyDescent="0.35">
      <c r="A43" s="94">
        <v>1.8</v>
      </c>
      <c r="C43" s="79" t="s">
        <v>127</v>
      </c>
      <c r="J43" s="362">
        <f>J36</f>
        <v>5908522.3300000001</v>
      </c>
      <c r="K43" s="651">
        <f>10%*(K36+K35+K27+K24+K18+K12+K5)</f>
        <v>8.5673370137991617E-2</v>
      </c>
      <c r="L43" s="666">
        <f>L36</f>
        <v>9081973.1555555556</v>
      </c>
      <c r="M43" s="651">
        <f>10%*(M36+M35+M27+M24+M18+M12+M5)</f>
        <v>8.7933316826775881E-2</v>
      </c>
      <c r="N43" s="666">
        <f>N36</f>
        <v>21531225.377777778</v>
      </c>
      <c r="O43" s="651">
        <f>10%*(O36+O35+O27+O24+O18+O12+O5)</f>
        <v>8.9031426163929728E-2</v>
      </c>
      <c r="P43" s="666">
        <f>P36</f>
        <v>37859590.655555554</v>
      </c>
      <c r="Q43" s="651">
        <f>10%*(Q36+Q35+Q27+Q24+Q18+Q12+Q5)</f>
        <v>8.9956327339915182E-2</v>
      </c>
    </row>
    <row r="44" spans="1:17" s="79" customFormat="1" x14ac:dyDescent="0.35">
      <c r="A44" s="687">
        <v>1.9</v>
      </c>
      <c r="C44" s="79" t="s">
        <v>125</v>
      </c>
      <c r="J44" s="650">
        <f t="shared" ref="J44:Q44" si="4">10%*(J36+J35+J27+J24+J18+J12+J4)</f>
        <v>1944709.4131500004</v>
      </c>
      <c r="K44" s="651">
        <f t="shared" si="4"/>
        <v>9.0909090909090925E-2</v>
      </c>
      <c r="L44" s="650">
        <f t="shared" si="4"/>
        <v>8151828.0416808641</v>
      </c>
      <c r="M44" s="651">
        <f t="shared" si="4"/>
        <v>9.0909090909090925E-2</v>
      </c>
      <c r="N44" s="650">
        <f t="shared" si="4"/>
        <v>28100305.243179306</v>
      </c>
      <c r="O44" s="651">
        <f t="shared" si="4"/>
        <v>9.0909090909090898E-2</v>
      </c>
      <c r="P44" s="650">
        <f t="shared" si="4"/>
        <v>50751872.653162174</v>
      </c>
      <c r="Q44" s="651">
        <f t="shared" si="4"/>
        <v>9.0909090909090912E-2</v>
      </c>
    </row>
    <row r="45" spans="1:17" s="69" customFormat="1" outlineLevel="1" x14ac:dyDescent="0.35">
      <c r="A45" s="37"/>
      <c r="I45" s="59"/>
      <c r="K45" s="58"/>
      <c r="M45" s="58"/>
      <c r="O45" s="58"/>
      <c r="Q45" s="59"/>
    </row>
    <row r="46" spans="1:17" s="69" customFormat="1" outlineLevel="1" x14ac:dyDescent="0.35">
      <c r="A46" s="671" t="s">
        <v>440</v>
      </c>
      <c r="B46" s="154"/>
      <c r="C46" s="154"/>
      <c r="D46" s="154"/>
      <c r="E46" s="154"/>
      <c r="F46" s="154"/>
      <c r="G46" s="154"/>
      <c r="H46" s="154"/>
      <c r="I46" s="653">
        <f>I27+I24</f>
        <v>475</v>
      </c>
      <c r="J46" s="445">
        <f>J44+J36+J35+J27+J24+J18+J12+J4</f>
        <v>21391803.54465</v>
      </c>
      <c r="K46" s="652">
        <f>K43+K36+K35+K27+K24+K18+K12+K4</f>
        <v>0.99476427922890065</v>
      </c>
      <c r="L46" s="670">
        <f>L44+L36+L35+L27+L24+L18+L12+L4</f>
        <v>89670108.458489493</v>
      </c>
      <c r="M46" s="652">
        <f>M43+M36+M35+M27+M24+M18+M12+M4</f>
        <v>0.99702422591768514</v>
      </c>
      <c r="N46" s="670">
        <f>N44+N36+N35+N27+N24+N18+N12+N4</f>
        <v>309103357.67497236</v>
      </c>
      <c r="O46" s="652">
        <f>O43+O36+O35+O27+O24+O18+O12+O4</f>
        <v>0.99812233525483873</v>
      </c>
      <c r="P46" s="670">
        <f>P44+P36+P35+P27+P24+P18+P12+P4</f>
        <v>558270599.18478382</v>
      </c>
      <c r="Q46" s="652">
        <f>Q43+Q36+Q35+Q27+Q24+Q18+Q12+Q4</f>
        <v>0.99904723643082416</v>
      </c>
    </row>
    <row r="47" spans="1:17" s="69" customFormat="1" outlineLevel="1" x14ac:dyDescent="0.35">
      <c r="A47" s="37"/>
      <c r="I47" s="59"/>
      <c r="J47" s="4"/>
      <c r="K47" s="84"/>
      <c r="L47" s="4"/>
      <c r="M47" s="84"/>
      <c r="N47" s="4"/>
      <c r="O47" s="84"/>
      <c r="P47" s="4"/>
      <c r="Q47" s="59"/>
    </row>
    <row r="48" spans="1:17" s="57" customFormat="1" x14ac:dyDescent="0.35">
      <c r="A48" s="70">
        <v>2</v>
      </c>
      <c r="B48" s="57" t="s">
        <v>55</v>
      </c>
      <c r="I48" s="79"/>
      <c r="J48" s="68">
        <f>SUM(J49:J54)</f>
        <v>1303792.4139333332</v>
      </c>
      <c r="K48" s="92">
        <f>J48/$J$46</f>
        <v>6.0948223052441332E-2</v>
      </c>
      <c r="L48" s="357">
        <f>SUM(L49:L54)</f>
        <v>4428764.3268918004</v>
      </c>
      <c r="M48" s="92">
        <f>L48/$L$46</f>
        <v>4.9389527937751795E-2</v>
      </c>
      <c r="N48" s="357">
        <f>SUM(N49:N54)</f>
        <v>10524058.860084035</v>
      </c>
      <c r="O48" s="92">
        <f>N48/$N$46</f>
        <v>3.404705448444293E-2</v>
      </c>
      <c r="P48" s="357">
        <f>SUM(P49:P54)</f>
        <v>14241269.810122099</v>
      </c>
      <c r="Q48" s="92">
        <f>P48/$P$46</f>
        <v>2.5509618150979029E-2</v>
      </c>
    </row>
    <row r="49" spans="1:19" outlineLevel="1" x14ac:dyDescent="0.35">
      <c r="A49" s="1">
        <v>2.1</v>
      </c>
      <c r="C49" t="s">
        <v>49</v>
      </c>
      <c r="I49" s="59"/>
      <c r="J49" s="391">
        <f>'2.1'!E4</f>
        <v>294491.58060000004</v>
      </c>
      <c r="K49" s="91">
        <f t="shared" ref="K49:K54" si="5">J49/$J$46</f>
        <v>1.3766561570431548E-2</v>
      </c>
      <c r="L49" s="391">
        <f>'2.1'!F4</f>
        <v>1439798.0113943424</v>
      </c>
      <c r="M49" s="91">
        <f t="shared" ref="M49:M54" si="6">L49/$L$46</f>
        <v>1.605661057119007E-2</v>
      </c>
      <c r="N49" s="391">
        <f>'2.1'!G4</f>
        <v>2681816.2765862062</v>
      </c>
      <c r="O49" s="91">
        <f t="shared" ref="O49:O54" si="7">N49/$N$46</f>
        <v>8.6761149951861197E-3</v>
      </c>
      <c r="P49" s="4">
        <f>'2.1'!H4</f>
        <v>2475911.1382258497</v>
      </c>
      <c r="Q49" s="87">
        <f t="shared" ref="Q49:Q54" si="8">P49/$P$46</f>
        <v>4.4349660215696578E-3</v>
      </c>
    </row>
    <row r="50" spans="1:19" outlineLevel="1" x14ac:dyDescent="0.35">
      <c r="A50" s="1">
        <v>2.2000000000000002</v>
      </c>
      <c r="C50" t="s">
        <v>50</v>
      </c>
      <c r="I50" s="59"/>
      <c r="J50" s="198">
        <f>'2.2'!E4</f>
        <v>710000</v>
      </c>
      <c r="K50" s="91">
        <f t="shared" si="5"/>
        <v>3.3190282367639268E-2</v>
      </c>
      <c r="L50" s="391">
        <f>'2.2'!F4</f>
        <v>1121000</v>
      </c>
      <c r="M50" s="91">
        <f t="shared" si="6"/>
        <v>1.250137887943939E-2</v>
      </c>
      <c r="N50" s="391">
        <f>'2.2'!G4</f>
        <v>1121000</v>
      </c>
      <c r="O50" s="91">
        <f t="shared" si="7"/>
        <v>3.6266186444300981E-3</v>
      </c>
      <c r="P50" s="391">
        <f>'2.2'!H4</f>
        <v>1121000</v>
      </c>
      <c r="Q50" s="87">
        <f t="shared" si="8"/>
        <v>2.0079868107633525E-3</v>
      </c>
      <c r="R50" s="4"/>
      <c r="S50" s="4"/>
    </row>
    <row r="51" spans="1:19" outlineLevel="1" x14ac:dyDescent="0.35">
      <c r="A51" s="1">
        <v>2.2999999999999998</v>
      </c>
      <c r="C51" t="s">
        <v>51</v>
      </c>
      <c r="I51" s="59"/>
      <c r="J51" s="4">
        <f>'2.3'!F5</f>
        <v>24905</v>
      </c>
      <c r="K51" s="91">
        <f t="shared" si="5"/>
        <v>1.1642309610789519E-3</v>
      </c>
      <c r="L51" s="391">
        <f>'2.3'!G5</f>
        <v>249050</v>
      </c>
      <c r="M51" s="91">
        <f t="shared" si="6"/>
        <v>2.7774026850351297E-3</v>
      </c>
      <c r="N51" s="391">
        <f>'2.3'!H5</f>
        <v>525400</v>
      </c>
      <c r="O51" s="91">
        <f t="shared" si="7"/>
        <v>1.699755072063848E-3</v>
      </c>
      <c r="P51" s="391">
        <f>'2.3'!I5</f>
        <v>1050800</v>
      </c>
      <c r="Q51" s="87">
        <f t="shared" si="8"/>
        <v>1.8822413387601525E-3</v>
      </c>
      <c r="R51" s="10"/>
      <c r="S51" s="10"/>
    </row>
    <row r="52" spans="1:19" outlineLevel="1" x14ac:dyDescent="0.35">
      <c r="A52" s="1">
        <v>2.4</v>
      </c>
      <c r="C52" t="s">
        <v>52</v>
      </c>
      <c r="I52" s="59"/>
      <c r="J52" s="4">
        <f>'2.4'!E4</f>
        <v>141561</v>
      </c>
      <c r="K52" s="91">
        <f t="shared" si="5"/>
        <v>6.6175345947118054E-3</v>
      </c>
      <c r="L52" s="391">
        <f>'2.4'!F4</f>
        <v>399936</v>
      </c>
      <c r="M52" s="91">
        <f t="shared" si="6"/>
        <v>4.4600815910146941E-3</v>
      </c>
      <c r="N52" s="391">
        <f>'2.4'!G4</f>
        <v>454692</v>
      </c>
      <c r="O52" s="91">
        <f t="shared" si="7"/>
        <v>1.4710031085398841E-3</v>
      </c>
      <c r="P52" s="391">
        <f>'2.4'!H4</f>
        <v>674634</v>
      </c>
      <c r="Q52" s="87">
        <f t="shared" si="8"/>
        <v>1.2084354809032325E-3</v>
      </c>
    </row>
    <row r="53" spans="1:19" outlineLevel="1" x14ac:dyDescent="0.35">
      <c r="A53" s="2">
        <v>2.5</v>
      </c>
      <c r="C53" t="s">
        <v>53</v>
      </c>
      <c r="I53" s="59"/>
      <c r="J53" s="4">
        <f>'2.5'!E5</f>
        <v>125834.83333333333</v>
      </c>
      <c r="K53" s="91">
        <f t="shared" si="5"/>
        <v>5.8823854225607871E-3</v>
      </c>
      <c r="L53" s="391">
        <f>'2.5'!F5</f>
        <v>1148980.3154974584</v>
      </c>
      <c r="M53" s="91">
        <f>L53/$L$46</f>
        <v>1.2813415030376035E-2</v>
      </c>
      <c r="N53" s="391">
        <f>'2.5'!G5</f>
        <v>5391150.5834978288</v>
      </c>
      <c r="O53" s="91">
        <f t="shared" si="7"/>
        <v>1.7441255326532942E-2</v>
      </c>
      <c r="P53" s="391">
        <f>'2.5'!H5</f>
        <v>8218924.67189625</v>
      </c>
      <c r="Q53" s="87">
        <f t="shared" si="8"/>
        <v>1.4722116271030495E-2</v>
      </c>
    </row>
    <row r="54" spans="1:19" outlineLevel="1" x14ac:dyDescent="0.35">
      <c r="A54" s="1">
        <v>2.6</v>
      </c>
      <c r="C54" t="s">
        <v>54</v>
      </c>
      <c r="I54" s="59"/>
      <c r="J54" s="4">
        <f>'2.6'!E4</f>
        <v>7000</v>
      </c>
      <c r="K54" s="91">
        <f t="shared" si="5"/>
        <v>3.2722813601897868E-4</v>
      </c>
      <c r="L54" s="391">
        <f>'2.6'!F4</f>
        <v>70000</v>
      </c>
      <c r="M54" s="91">
        <f t="shared" si="6"/>
        <v>7.8063918069648291E-4</v>
      </c>
      <c r="N54" s="391">
        <f>'2.6'!G4</f>
        <v>350000</v>
      </c>
      <c r="O54" s="91">
        <f t="shared" si="7"/>
        <v>1.1323073376900395E-3</v>
      </c>
      <c r="P54" s="391">
        <f>'2.6'!H4</f>
        <v>700000</v>
      </c>
      <c r="Q54" s="87">
        <f t="shared" si="8"/>
        <v>1.2538722279521381E-3</v>
      </c>
      <c r="S54" s="11"/>
    </row>
    <row r="55" spans="1:19" x14ac:dyDescent="0.35">
      <c r="I55" s="59"/>
      <c r="J55" s="59"/>
      <c r="K55" s="76"/>
      <c r="L55" s="59"/>
      <c r="M55" s="76"/>
      <c r="N55" s="59"/>
      <c r="O55" s="76"/>
      <c r="P55" s="59"/>
      <c r="Q55" s="59"/>
    </row>
    <row r="56" spans="1:19" s="57" customFormat="1" x14ac:dyDescent="0.35">
      <c r="A56" s="153" t="s">
        <v>191</v>
      </c>
      <c r="B56" s="154"/>
      <c r="C56" s="154"/>
      <c r="D56" s="154"/>
      <c r="E56" s="154"/>
      <c r="F56" s="154"/>
      <c r="G56" s="154"/>
      <c r="H56" s="154"/>
      <c r="I56" s="154"/>
      <c r="J56" s="165">
        <f>J48</f>
        <v>1303792.4139333332</v>
      </c>
      <c r="K56" s="156">
        <f t="shared" ref="K56:Q56" si="9">SUM(K49:K54)</f>
        <v>6.0948223052441339E-2</v>
      </c>
      <c r="L56" s="371">
        <f>L48</f>
        <v>4428764.3268918004</v>
      </c>
      <c r="M56" s="156">
        <f t="shared" si="9"/>
        <v>4.9389527937751802E-2</v>
      </c>
      <c r="N56" s="371">
        <f>N48</f>
        <v>10524058.860084035</v>
      </c>
      <c r="O56" s="156">
        <f t="shared" si="9"/>
        <v>3.4047054484442937E-2</v>
      </c>
      <c r="P56" s="371">
        <f>P48</f>
        <v>14241269.810122099</v>
      </c>
      <c r="Q56" s="156">
        <f t="shared" si="9"/>
        <v>2.5509618150979029E-2</v>
      </c>
    </row>
    <row r="57" spans="1:19" x14ac:dyDescent="0.35">
      <c r="J57" s="4"/>
      <c r="K57" s="84"/>
      <c r="L57" s="4"/>
      <c r="M57" s="84"/>
      <c r="N57" s="4"/>
      <c r="O57" s="84"/>
      <c r="P57" s="4"/>
    </row>
    <row r="58" spans="1:19" x14ac:dyDescent="0.35">
      <c r="J58" s="5"/>
      <c r="K58" s="76"/>
      <c r="L58" s="5"/>
      <c r="M58" s="76"/>
      <c r="N58" s="5"/>
      <c r="O58" s="76"/>
      <c r="P58" s="5"/>
    </row>
  </sheetData>
  <dataConsolidate/>
  <mergeCells count="1">
    <mergeCell ref="J1:P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About</vt:lpstr>
      <vt:lpstr>DoE Summary</vt:lpstr>
      <vt:lpstr>DoE CBS</vt:lpstr>
      <vt:lpstr>Report Tables</vt:lpstr>
      <vt:lpstr>Report Graphs</vt:lpstr>
      <vt:lpstr>Performance &amp; Economics</vt:lpstr>
      <vt:lpstr>CBS (CoE)</vt:lpstr>
      <vt:lpstr>CBS ($ per kW)</vt:lpstr>
      <vt:lpstr>CBS (Total)</vt:lpstr>
      <vt:lpstr>1.1</vt:lpstr>
      <vt:lpstr>1.2</vt:lpstr>
      <vt:lpstr>1.3</vt:lpstr>
      <vt:lpstr>1.4</vt:lpstr>
      <vt:lpstr>1.5</vt:lpstr>
      <vt:lpstr>1.6</vt:lpstr>
      <vt:lpstr>1.7</vt:lpstr>
      <vt:lpstr>1.8</vt:lpstr>
      <vt:lpstr>1.9</vt:lpstr>
      <vt:lpstr>2.1</vt:lpstr>
      <vt:lpstr>2.2</vt:lpstr>
      <vt:lpstr>2.3</vt:lpstr>
      <vt:lpstr>2.4</vt:lpstr>
      <vt:lpstr>2.5</vt:lpstr>
      <vt:lpstr>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Mirko</cp:lastModifiedBy>
  <dcterms:created xsi:type="dcterms:W3CDTF">2012-04-25T12:13:03Z</dcterms:created>
  <dcterms:modified xsi:type="dcterms:W3CDTF">2017-07-26T21:11:55Z</dcterms:modified>
</cp:coreProperties>
</file>