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Mayer\Desktop\"/>
    </mc:Choice>
  </mc:AlternateContent>
  <bookViews>
    <workbookView xWindow="120" yWindow="750" windowWidth="20730" windowHeight="7590"/>
  </bookViews>
  <sheets>
    <sheet name="250kW Drivetrain Test Cases" sheetId="6" r:id="rId1"/>
    <sheet name="Flow Ramp Rates" sheetId="8" r:id="rId2"/>
    <sheet name="Sensor List" sheetId="5" r:id="rId3"/>
  </sheets>
  <calcPr calcId="152511"/>
</workbook>
</file>

<file path=xl/calcChain.xml><?xml version="1.0" encoding="utf-8"?>
<calcChain xmlns="http://schemas.openxmlformats.org/spreadsheetml/2006/main">
  <c r="K50" i="6" l="1"/>
  <c r="K51" i="6"/>
  <c r="X10" i="6" l="1"/>
  <c r="G51" i="6" l="1"/>
  <c r="E51" i="6"/>
  <c r="F51" i="6" s="1"/>
  <c r="G50" i="6"/>
  <c r="E50" i="6"/>
  <c r="G49" i="6"/>
  <c r="E49" i="6"/>
  <c r="G48" i="6"/>
  <c r="E48" i="6"/>
  <c r="F48" i="6" s="1"/>
  <c r="H48" i="6" l="1"/>
  <c r="I48" i="6" s="1"/>
  <c r="F49" i="6"/>
  <c r="H51" i="6"/>
  <c r="I51" i="6" s="1"/>
  <c r="F50" i="6"/>
  <c r="H50" i="6" s="1"/>
  <c r="I50" i="6" s="1"/>
  <c r="D80" i="6"/>
  <c r="G80" i="6"/>
  <c r="P80" i="6"/>
  <c r="Q80" i="6" s="1"/>
  <c r="P83" i="6"/>
  <c r="G83" i="6"/>
  <c r="D83" i="6"/>
  <c r="P82" i="6"/>
  <c r="G82" i="6"/>
  <c r="D82" i="6"/>
  <c r="P81" i="6"/>
  <c r="Q81" i="6" s="1"/>
  <c r="G81" i="6"/>
  <c r="D81" i="6"/>
  <c r="P79" i="6"/>
  <c r="Q79" i="6" s="1"/>
  <c r="G79" i="6"/>
  <c r="D79" i="6"/>
  <c r="P78" i="6"/>
  <c r="G78" i="6"/>
  <c r="D78" i="6"/>
  <c r="P77" i="6"/>
  <c r="G77" i="6"/>
  <c r="D77" i="6"/>
  <c r="P73" i="6"/>
  <c r="Q73" i="6" s="1"/>
  <c r="G73" i="6"/>
  <c r="D73" i="6"/>
  <c r="P72" i="6"/>
  <c r="G72" i="6"/>
  <c r="D72" i="6"/>
  <c r="P71" i="6"/>
  <c r="Q71" i="6" s="1"/>
  <c r="G71" i="6"/>
  <c r="D71" i="6"/>
  <c r="P70" i="6"/>
  <c r="Q70" i="6" s="1"/>
  <c r="G70" i="6"/>
  <c r="D70" i="6"/>
  <c r="P69" i="6"/>
  <c r="G69" i="6"/>
  <c r="D69" i="6"/>
  <c r="P68" i="6"/>
  <c r="G68" i="6"/>
  <c r="D68" i="6"/>
  <c r="P67" i="6"/>
  <c r="Q67" i="6" s="1"/>
  <c r="G67" i="6"/>
  <c r="D67" i="6"/>
  <c r="P66" i="6"/>
  <c r="Q66" i="6" s="1"/>
  <c r="G66" i="6"/>
  <c r="D66" i="6"/>
  <c r="P65" i="6"/>
  <c r="G65" i="6"/>
  <c r="D65" i="6"/>
  <c r="P64" i="6"/>
  <c r="Q64" i="6" s="1"/>
  <c r="G64" i="6"/>
  <c r="D64" i="6"/>
  <c r="P63" i="6"/>
  <c r="G63" i="6"/>
  <c r="D63" i="6"/>
  <c r="P62" i="6"/>
  <c r="Q62" i="6" s="1"/>
  <c r="G62" i="6"/>
  <c r="D62" i="6"/>
  <c r="J48" i="6" l="1"/>
  <c r="K48" i="6"/>
  <c r="J51" i="6"/>
  <c r="H49" i="6"/>
  <c r="I49" i="6" s="1"/>
  <c r="K49" i="6" s="1"/>
  <c r="J50" i="6"/>
  <c r="Q78" i="6"/>
  <c r="Q77" i="6"/>
  <c r="Q83" i="6"/>
  <c r="Q82" i="6"/>
  <c r="Q72" i="6"/>
  <c r="Q69" i="6"/>
  <c r="Q68" i="6"/>
  <c r="Q63" i="6"/>
  <c r="Q65" i="6"/>
  <c r="J49" i="6" l="1"/>
  <c r="Y12" i="6"/>
  <c r="E80" i="6" l="1"/>
  <c r="E30" i="6"/>
  <c r="E69" i="6"/>
  <c r="E65" i="6"/>
  <c r="E77" i="6"/>
  <c r="E67" i="6"/>
  <c r="E78" i="6"/>
  <c r="E64" i="6"/>
  <c r="E73" i="6"/>
  <c r="E83" i="6"/>
  <c r="E79" i="6"/>
  <c r="E63" i="6"/>
  <c r="E72" i="6"/>
  <c r="E82" i="6"/>
  <c r="E81" i="6"/>
  <c r="E68" i="6"/>
  <c r="E62" i="6"/>
  <c r="E71" i="6"/>
  <c r="E70" i="6"/>
  <c r="E66" i="6"/>
  <c r="D25" i="6"/>
  <c r="E25" i="6" s="1"/>
  <c r="F25" i="6" s="1"/>
  <c r="P25" i="6"/>
  <c r="P30" i="6"/>
  <c r="Q30" i="6" s="1"/>
  <c r="P29" i="6"/>
  <c r="G29" i="6"/>
  <c r="D29" i="6"/>
  <c r="E29" i="6" s="1"/>
  <c r="F29" i="6" s="1"/>
  <c r="E57" i="6"/>
  <c r="P17" i="6"/>
  <c r="P18" i="6"/>
  <c r="P19" i="6"/>
  <c r="P57" i="6" s="1"/>
  <c r="P16" i="6"/>
  <c r="E19" i="6"/>
  <c r="G27" i="6"/>
  <c r="G43" i="6"/>
  <c r="G44" i="6"/>
  <c r="G45" i="6"/>
  <c r="G42" i="6"/>
  <c r="P27" i="6"/>
  <c r="D27" i="6"/>
  <c r="E27" i="6" s="1"/>
  <c r="F27" i="6" s="1"/>
  <c r="D23" i="6"/>
  <c r="E23" i="6" s="1"/>
  <c r="G23" i="6"/>
  <c r="P23" i="6"/>
  <c r="Q23" i="6" s="1"/>
  <c r="D24" i="6"/>
  <c r="E24" i="6" s="1"/>
  <c r="G24" i="6"/>
  <c r="P24" i="6"/>
  <c r="Q24" i="6" s="1"/>
  <c r="G25" i="6"/>
  <c r="D26" i="6"/>
  <c r="E26" i="6" s="1"/>
  <c r="F26" i="6" s="1"/>
  <c r="G26" i="6"/>
  <c r="P26" i="6"/>
  <c r="Q26" i="6" s="1"/>
  <c r="G30" i="6"/>
  <c r="P28" i="6"/>
  <c r="G28" i="6"/>
  <c r="D28" i="6"/>
  <c r="E28" i="6" s="1"/>
  <c r="F28" i="6" s="1"/>
  <c r="P45" i="6"/>
  <c r="D45" i="6"/>
  <c r="P44" i="6"/>
  <c r="D44" i="6"/>
  <c r="E44" i="6" s="1"/>
  <c r="P43" i="6"/>
  <c r="Q43" i="6" s="1"/>
  <c r="D43" i="6"/>
  <c r="E43" i="6" s="1"/>
  <c r="P42" i="6"/>
  <c r="Q42" i="6" s="1"/>
  <c r="D42" i="6"/>
  <c r="E42" i="6" s="1"/>
  <c r="G57" i="6"/>
  <c r="P56" i="6"/>
  <c r="G56" i="6"/>
  <c r="D56" i="6"/>
  <c r="E56" i="6" s="1"/>
  <c r="P55" i="6"/>
  <c r="G55" i="6"/>
  <c r="D55" i="6"/>
  <c r="E55" i="6" s="1"/>
  <c r="P54" i="6"/>
  <c r="G54" i="6"/>
  <c r="D54" i="6"/>
  <c r="E54" i="6" s="1"/>
  <c r="D4" i="8"/>
  <c r="D3" i="8"/>
  <c r="F68" i="6" l="1"/>
  <c r="R68" i="6"/>
  <c r="S68" i="6" s="1"/>
  <c r="F64" i="6"/>
  <c r="R64" i="6"/>
  <c r="S64" i="6" s="1"/>
  <c r="R81" i="6"/>
  <c r="S81" i="6" s="1"/>
  <c r="F81" i="6"/>
  <c r="F78" i="6"/>
  <c r="R78" i="6"/>
  <c r="S78" i="6" s="1"/>
  <c r="F82" i="6"/>
  <c r="R82" i="6"/>
  <c r="S82" i="6" s="1"/>
  <c r="F67" i="6"/>
  <c r="R67" i="6"/>
  <c r="S67" i="6" s="1"/>
  <c r="F72" i="6"/>
  <c r="R72" i="6"/>
  <c r="S72" i="6" s="1"/>
  <c r="F77" i="6"/>
  <c r="R77" i="6"/>
  <c r="S77" i="6" s="1"/>
  <c r="R66" i="6"/>
  <c r="S66" i="6" s="1"/>
  <c r="F66" i="6"/>
  <c r="F63" i="6"/>
  <c r="H63" i="6" s="1"/>
  <c r="I63" i="6" s="1"/>
  <c r="R63" i="6"/>
  <c r="S63" i="6" s="1"/>
  <c r="F65" i="6"/>
  <c r="R65" i="6"/>
  <c r="S65" i="6" s="1"/>
  <c r="F70" i="6"/>
  <c r="R70" i="6"/>
  <c r="S70" i="6" s="1"/>
  <c r="F79" i="6"/>
  <c r="R79" i="6"/>
  <c r="S79" i="6" s="1"/>
  <c r="F69" i="6"/>
  <c r="R69" i="6"/>
  <c r="S69" i="6" s="1"/>
  <c r="F71" i="6"/>
  <c r="H71" i="6" s="1"/>
  <c r="I71" i="6" s="1"/>
  <c r="R71" i="6"/>
  <c r="S71" i="6" s="1"/>
  <c r="F83" i="6"/>
  <c r="R83" i="6"/>
  <c r="S83" i="6" s="1"/>
  <c r="F62" i="6"/>
  <c r="H62" i="6" s="1"/>
  <c r="I62" i="6" s="1"/>
  <c r="R62" i="6"/>
  <c r="S62" i="6" s="1"/>
  <c r="F73" i="6"/>
  <c r="R73" i="6"/>
  <c r="S73" i="6" s="1"/>
  <c r="F80" i="6"/>
  <c r="R80" i="6"/>
  <c r="S80" i="6" s="1"/>
  <c r="Q25" i="6"/>
  <c r="H29" i="6"/>
  <c r="I29" i="6" s="1"/>
  <c r="R29" i="6"/>
  <c r="S29" i="6" s="1"/>
  <c r="Q29" i="6"/>
  <c r="R30" i="6"/>
  <c r="S30" i="6" s="1"/>
  <c r="R23" i="6"/>
  <c r="S23" i="6" s="1"/>
  <c r="F23" i="6"/>
  <c r="H23" i="6" s="1"/>
  <c r="I23" i="6" s="1"/>
  <c r="J23" i="6" s="1"/>
  <c r="H27" i="6"/>
  <c r="I27" i="6" s="1"/>
  <c r="J27" i="6" s="1"/>
  <c r="F54" i="6"/>
  <c r="H54" i="6" s="1"/>
  <c r="I54" i="6" s="1"/>
  <c r="F55" i="6"/>
  <c r="H55" i="6" s="1"/>
  <c r="I55" i="6" s="1"/>
  <c r="R26" i="6"/>
  <c r="S26" i="6" s="1"/>
  <c r="F30" i="6"/>
  <c r="H30" i="6" s="1"/>
  <c r="I30" i="6" s="1"/>
  <c r="K30" i="6" s="1"/>
  <c r="R27" i="6"/>
  <c r="S27" i="6" s="1"/>
  <c r="F57" i="6"/>
  <c r="H57" i="6" s="1"/>
  <c r="I57" i="6" s="1"/>
  <c r="E45" i="6"/>
  <c r="F45" i="6" s="1"/>
  <c r="H45" i="6" s="1"/>
  <c r="I45" i="6" s="1"/>
  <c r="K45" i="6" s="1"/>
  <c r="F44" i="6"/>
  <c r="H44" i="6" s="1"/>
  <c r="I44" i="6" s="1"/>
  <c r="K44" i="6" s="1"/>
  <c r="F56" i="6"/>
  <c r="H56" i="6" s="1"/>
  <c r="I56" i="6" s="1"/>
  <c r="R57" i="6"/>
  <c r="S57" i="6" s="1"/>
  <c r="Q27" i="6"/>
  <c r="R54" i="6"/>
  <c r="S54" i="6" s="1"/>
  <c r="H26" i="6"/>
  <c r="I26" i="6" s="1"/>
  <c r="J26" i="6" s="1"/>
  <c r="Q57" i="6"/>
  <c r="F24" i="6"/>
  <c r="R24" i="6"/>
  <c r="S24" i="6" s="1"/>
  <c r="H25" i="6"/>
  <c r="I25" i="6" s="1"/>
  <c r="R25" i="6"/>
  <c r="S25" i="6" s="1"/>
  <c r="H28" i="6"/>
  <c r="I28" i="6" s="1"/>
  <c r="R28" i="6"/>
  <c r="S28" i="6" s="1"/>
  <c r="Q28" i="6"/>
  <c r="F42" i="6"/>
  <c r="R42" i="6"/>
  <c r="S42" i="6" s="1"/>
  <c r="R44" i="6"/>
  <c r="S44" i="6" s="1"/>
  <c r="F43" i="6"/>
  <c r="R43" i="6"/>
  <c r="S43" i="6" s="1"/>
  <c r="Q45" i="6"/>
  <c r="Q44" i="6"/>
  <c r="R56" i="6"/>
  <c r="S56" i="6" s="1"/>
  <c r="R55" i="6"/>
  <c r="S55" i="6" s="1"/>
  <c r="Q56" i="6"/>
  <c r="Q55" i="6"/>
  <c r="Q54" i="6"/>
  <c r="P5" i="6"/>
  <c r="Q5" i="6" s="1"/>
  <c r="P6" i="6"/>
  <c r="Q6" i="6" s="1"/>
  <c r="P7" i="6"/>
  <c r="Q7" i="6" s="1"/>
  <c r="P8" i="6"/>
  <c r="Q8" i="6" s="1"/>
  <c r="P9" i="6"/>
  <c r="Q9" i="6" s="1"/>
  <c r="P10" i="6"/>
  <c r="Q10" i="6" s="1"/>
  <c r="P11" i="6"/>
  <c r="P12" i="6"/>
  <c r="Q12" i="6" s="1"/>
  <c r="P13" i="6"/>
  <c r="Q13" i="6" s="1"/>
  <c r="P14" i="6"/>
  <c r="P15" i="6"/>
  <c r="Q19" i="6"/>
  <c r="P4" i="6"/>
  <c r="Q4" i="6" s="1"/>
  <c r="E16" i="6"/>
  <c r="F16" i="6" s="1"/>
  <c r="D11" i="6"/>
  <c r="E11" i="6" s="1"/>
  <c r="G17" i="6"/>
  <c r="E17" i="6"/>
  <c r="F17" i="6" s="1"/>
  <c r="G16" i="6"/>
  <c r="G15" i="6"/>
  <c r="D15" i="6"/>
  <c r="G14" i="6"/>
  <c r="D14" i="6"/>
  <c r="E14" i="6" s="1"/>
  <c r="F14" i="6" s="1"/>
  <c r="G13" i="6"/>
  <c r="D13" i="6"/>
  <c r="E13" i="6" s="1"/>
  <c r="G12" i="6"/>
  <c r="D12" i="6"/>
  <c r="E12" i="6" s="1"/>
  <c r="D4" i="6"/>
  <c r="E4" i="6" s="1"/>
  <c r="D5" i="6"/>
  <c r="E5" i="6" s="1"/>
  <c r="D6" i="6"/>
  <c r="E6" i="6" s="1"/>
  <c r="D7" i="6"/>
  <c r="E7" i="6" s="1"/>
  <c r="D8" i="6"/>
  <c r="E8" i="6" s="1"/>
  <c r="D9" i="6"/>
  <c r="E9" i="6" s="1"/>
  <c r="D10" i="6"/>
  <c r="E10" i="6" s="1"/>
  <c r="E18" i="6"/>
  <c r="H83" i="6" l="1"/>
  <c r="I83" i="6" s="1"/>
  <c r="H70" i="6"/>
  <c r="I70" i="6" s="1"/>
  <c r="H77" i="6"/>
  <c r="I77" i="6" s="1"/>
  <c r="H78" i="6"/>
  <c r="I78" i="6" s="1"/>
  <c r="H81" i="6"/>
  <c r="I81" i="6" s="1"/>
  <c r="H80" i="6"/>
  <c r="I80" i="6" s="1"/>
  <c r="K71" i="6"/>
  <c r="J71" i="6"/>
  <c r="H65" i="6"/>
  <c r="I65" i="6" s="1"/>
  <c r="H72" i="6"/>
  <c r="I72" i="6" s="1"/>
  <c r="H73" i="6"/>
  <c r="I73" i="6" s="1"/>
  <c r="H69" i="6"/>
  <c r="I69" i="6" s="1"/>
  <c r="K63" i="6"/>
  <c r="J63" i="6"/>
  <c r="H67" i="6"/>
  <c r="I67" i="6" s="1"/>
  <c r="H64" i="6"/>
  <c r="I64" i="6" s="1"/>
  <c r="H66" i="6"/>
  <c r="I66" i="6" s="1"/>
  <c r="J62" i="6"/>
  <c r="K62" i="6"/>
  <c r="H79" i="6"/>
  <c r="I79" i="6" s="1"/>
  <c r="H82" i="6"/>
  <c r="I82" i="6" s="1"/>
  <c r="H68" i="6"/>
  <c r="I68" i="6" s="1"/>
  <c r="K27" i="6"/>
  <c r="K26" i="6"/>
  <c r="K23" i="6"/>
  <c r="J29" i="6"/>
  <c r="K29" i="6"/>
  <c r="E15" i="6"/>
  <c r="F15" i="6" s="1"/>
  <c r="H15" i="6" s="1"/>
  <c r="I15" i="6" s="1"/>
  <c r="R45" i="6"/>
  <c r="S45" i="6" s="1"/>
  <c r="J30" i="6"/>
  <c r="J25" i="6"/>
  <c r="K25" i="6"/>
  <c r="H24" i="6"/>
  <c r="I24" i="6" s="1"/>
  <c r="J28" i="6"/>
  <c r="K28" i="6"/>
  <c r="J45" i="6"/>
  <c r="J44" i="6"/>
  <c r="H42" i="6"/>
  <c r="I42" i="6" s="1"/>
  <c r="K42" i="6" s="1"/>
  <c r="H43" i="6"/>
  <c r="I43" i="6" s="1"/>
  <c r="K43" i="6" s="1"/>
  <c r="J57" i="6"/>
  <c r="K57" i="6"/>
  <c r="J54" i="6"/>
  <c r="K54" i="6"/>
  <c r="K56" i="6"/>
  <c r="J56" i="6"/>
  <c r="K55" i="6"/>
  <c r="J55" i="6"/>
  <c r="H16" i="6"/>
  <c r="I16" i="6" s="1"/>
  <c r="R16" i="6"/>
  <c r="S16" i="6" s="1"/>
  <c r="H17" i="6"/>
  <c r="I17" i="6" s="1"/>
  <c r="R17" i="6"/>
  <c r="S17" i="6" s="1"/>
  <c r="Q17" i="6"/>
  <c r="Q16" i="6"/>
  <c r="F12" i="6"/>
  <c r="R12" i="6"/>
  <c r="S12" i="6" s="1"/>
  <c r="H14" i="6"/>
  <c r="I14" i="6" s="1"/>
  <c r="R14" i="6"/>
  <c r="S14" i="6" s="1"/>
  <c r="F13" i="6"/>
  <c r="R13" i="6"/>
  <c r="S13" i="6" s="1"/>
  <c r="Q15" i="6"/>
  <c r="Q14" i="6"/>
  <c r="R18" i="6"/>
  <c r="S18" i="6" s="1"/>
  <c r="R11" i="6"/>
  <c r="S11" i="6" s="1"/>
  <c r="Q18" i="6"/>
  <c r="Q11" i="6"/>
  <c r="R10" i="6"/>
  <c r="S10" i="6" s="1"/>
  <c r="R9" i="6"/>
  <c r="S9" i="6" s="1"/>
  <c r="R8" i="6"/>
  <c r="S8" i="6" s="1"/>
  <c r="R7" i="6"/>
  <c r="S7" i="6" s="1"/>
  <c r="R4" i="6"/>
  <c r="S4" i="6" s="1"/>
  <c r="R6" i="6"/>
  <c r="S6" i="6" s="1"/>
  <c r="R19" i="6"/>
  <c r="S19" i="6" s="1"/>
  <c r="R5" i="6"/>
  <c r="S5" i="6" s="1"/>
  <c r="K65" i="6" l="1"/>
  <c r="J65" i="6"/>
  <c r="K78" i="6"/>
  <c r="J78" i="6"/>
  <c r="K68" i="6"/>
  <c r="J68" i="6"/>
  <c r="K66" i="6"/>
  <c r="J66" i="6"/>
  <c r="J69" i="6"/>
  <c r="K69" i="6"/>
  <c r="K77" i="6"/>
  <c r="J77" i="6"/>
  <c r="K82" i="6"/>
  <c r="J82" i="6"/>
  <c r="J64" i="6"/>
  <c r="K64" i="6"/>
  <c r="J73" i="6"/>
  <c r="K73" i="6"/>
  <c r="J80" i="6"/>
  <c r="K80" i="6"/>
  <c r="J70" i="6"/>
  <c r="K70" i="6"/>
  <c r="K79" i="6"/>
  <c r="J79" i="6"/>
  <c r="K67" i="6"/>
  <c r="J67" i="6"/>
  <c r="J72" i="6"/>
  <c r="K72" i="6"/>
  <c r="K81" i="6"/>
  <c r="J81" i="6"/>
  <c r="J83" i="6"/>
  <c r="K83" i="6"/>
  <c r="R15" i="6"/>
  <c r="J24" i="6"/>
  <c r="K24" i="6"/>
  <c r="J42" i="6"/>
  <c r="J43" i="6"/>
  <c r="J17" i="6"/>
  <c r="K17" i="6"/>
  <c r="K16" i="6"/>
  <c r="J16" i="6"/>
  <c r="J15" i="6"/>
  <c r="K15" i="6"/>
  <c r="K14" i="6"/>
  <c r="J14" i="6"/>
  <c r="H12" i="6"/>
  <c r="I12" i="6" s="1"/>
  <c r="H13" i="6"/>
  <c r="I13" i="6" s="1"/>
  <c r="S15" i="6" l="1"/>
  <c r="R51" i="6"/>
  <c r="R50" i="6"/>
  <c r="K12" i="6"/>
  <c r="J12" i="6"/>
  <c r="K13" i="6"/>
  <c r="J13" i="6"/>
  <c r="P48" i="6" l="1"/>
  <c r="Q48" i="6" s="1"/>
  <c r="S48" i="6"/>
  <c r="P51" i="6"/>
  <c r="Q51" i="6" s="1"/>
  <c r="S51" i="6"/>
  <c r="P50" i="6"/>
  <c r="Q50" i="6" s="1"/>
  <c r="S50" i="6"/>
  <c r="P49" i="6"/>
  <c r="Q49" i="6" s="1"/>
  <c r="S49" i="6"/>
  <c r="AE5" i="6"/>
  <c r="AF5" i="6" s="1"/>
  <c r="AN25" i="6"/>
  <c r="AN24" i="6"/>
  <c r="AL23" i="6"/>
  <c r="AM22" i="6"/>
  <c r="AL21" i="6"/>
  <c r="AL20" i="6"/>
  <c r="AL19" i="6"/>
  <c r="AL18" i="6"/>
  <c r="AL17" i="6"/>
  <c r="AL16" i="6"/>
  <c r="AL15" i="6"/>
  <c r="G19" i="6"/>
  <c r="G18" i="6"/>
  <c r="AM12" i="6"/>
  <c r="AM25" i="6" s="1"/>
  <c r="AL25" i="6" s="1"/>
  <c r="G11" i="6"/>
  <c r="AM11" i="6"/>
  <c r="AM24" i="6" s="1"/>
  <c r="AL24" i="6" s="1"/>
  <c r="G10" i="6"/>
  <c r="AM10" i="6"/>
  <c r="G9" i="6"/>
  <c r="AM9" i="6"/>
  <c r="G8" i="6"/>
  <c r="AM8" i="6"/>
  <c r="G7" i="6"/>
  <c r="AM7" i="6"/>
  <c r="G6" i="6"/>
  <c r="AM6" i="6"/>
  <c r="G5" i="6"/>
  <c r="AM5" i="6"/>
  <c r="G4" i="6"/>
  <c r="F4" i="6"/>
  <c r="AM4" i="6"/>
  <c r="F6" i="6" l="1"/>
  <c r="H4" i="6"/>
  <c r="I4" i="6" s="1"/>
  <c r="L48" i="6" l="1"/>
  <c r="M48" i="6" s="1"/>
  <c r="N48" i="6" s="1"/>
  <c r="L50" i="6"/>
  <c r="M50" i="6" s="1"/>
  <c r="N50" i="6" s="1"/>
  <c r="L51" i="6"/>
  <c r="M51" i="6" s="1"/>
  <c r="N51" i="6" s="1"/>
  <c r="L49" i="6"/>
  <c r="M49" i="6" s="1"/>
  <c r="N49" i="6" s="1"/>
  <c r="L62" i="6"/>
  <c r="M62" i="6" s="1"/>
  <c r="N62" i="6" s="1"/>
  <c r="L63" i="6"/>
  <c r="M63" i="6" s="1"/>
  <c r="N63" i="6" s="1"/>
  <c r="L71" i="6"/>
  <c r="M71" i="6" s="1"/>
  <c r="N71" i="6" s="1"/>
  <c r="L73" i="6"/>
  <c r="M73" i="6" s="1"/>
  <c r="N73" i="6" s="1"/>
  <c r="L68" i="6"/>
  <c r="M68" i="6" s="1"/>
  <c r="N68" i="6" s="1"/>
  <c r="L82" i="6"/>
  <c r="M82" i="6" s="1"/>
  <c r="N82" i="6" s="1"/>
  <c r="L64" i="6"/>
  <c r="M64" i="6" s="1"/>
  <c r="N64" i="6" s="1"/>
  <c r="L69" i="6"/>
  <c r="M69" i="6" s="1"/>
  <c r="N69" i="6" s="1"/>
  <c r="L67" i="6"/>
  <c r="M67" i="6" s="1"/>
  <c r="N67" i="6" s="1"/>
  <c r="L70" i="6"/>
  <c r="M70" i="6" s="1"/>
  <c r="N70" i="6" s="1"/>
  <c r="L66" i="6"/>
  <c r="M66" i="6" s="1"/>
  <c r="N66" i="6" s="1"/>
  <c r="L80" i="6"/>
  <c r="M80" i="6" s="1"/>
  <c r="N80" i="6" s="1"/>
  <c r="L78" i="6"/>
  <c r="M78" i="6" s="1"/>
  <c r="N78" i="6" s="1"/>
  <c r="L81" i="6"/>
  <c r="M81" i="6" s="1"/>
  <c r="N81" i="6" s="1"/>
  <c r="L77" i="6"/>
  <c r="M77" i="6" s="1"/>
  <c r="N77" i="6" s="1"/>
  <c r="L83" i="6"/>
  <c r="M83" i="6" s="1"/>
  <c r="N83" i="6" s="1"/>
  <c r="L65" i="6"/>
  <c r="M65" i="6" s="1"/>
  <c r="N65" i="6" s="1"/>
  <c r="L72" i="6"/>
  <c r="M72" i="6" s="1"/>
  <c r="N72" i="6" s="1"/>
  <c r="L79" i="6"/>
  <c r="M79" i="6" s="1"/>
  <c r="N79" i="6" s="1"/>
  <c r="L27" i="6"/>
  <c r="M27" i="6" s="1"/>
  <c r="N27" i="6" s="1"/>
  <c r="L29" i="6"/>
  <c r="M29" i="6" s="1"/>
  <c r="N29" i="6" s="1"/>
  <c r="L23" i="6"/>
  <c r="M23" i="6" s="1"/>
  <c r="N23" i="6" s="1"/>
  <c r="L26" i="6"/>
  <c r="M26" i="6" s="1"/>
  <c r="N26" i="6" s="1"/>
  <c r="L30" i="6"/>
  <c r="M30" i="6" s="1"/>
  <c r="N30" i="6" s="1"/>
  <c r="L25" i="6"/>
  <c r="M25" i="6" s="1"/>
  <c r="N25" i="6" s="1"/>
  <c r="L28" i="6"/>
  <c r="M28" i="6" s="1"/>
  <c r="N28" i="6" s="1"/>
  <c r="L44" i="6"/>
  <c r="M44" i="6" s="1"/>
  <c r="N44" i="6" s="1"/>
  <c r="L45" i="6"/>
  <c r="M45" i="6" s="1"/>
  <c r="N45" i="6" s="1"/>
  <c r="L24" i="6"/>
  <c r="M24" i="6" s="1"/>
  <c r="N24" i="6" s="1"/>
  <c r="L42" i="6"/>
  <c r="M42" i="6" s="1"/>
  <c r="N42" i="6" s="1"/>
  <c r="L43" i="6"/>
  <c r="M43" i="6" s="1"/>
  <c r="N43" i="6" s="1"/>
  <c r="L57" i="6"/>
  <c r="M57" i="6" s="1"/>
  <c r="N57" i="6" s="1"/>
  <c r="L56" i="6"/>
  <c r="M56" i="6" s="1"/>
  <c r="N56" i="6" s="1"/>
  <c r="L55" i="6"/>
  <c r="M55" i="6" s="1"/>
  <c r="N55" i="6" s="1"/>
  <c r="L54" i="6"/>
  <c r="M54" i="6" s="1"/>
  <c r="N54" i="6" s="1"/>
  <c r="L16" i="6"/>
  <c r="M16" i="6" s="1"/>
  <c r="N16" i="6" s="1"/>
  <c r="L17" i="6"/>
  <c r="M17" i="6" s="1"/>
  <c r="N17" i="6" s="1"/>
  <c r="L14" i="6"/>
  <c r="M14" i="6" s="1"/>
  <c r="N14" i="6" s="1"/>
  <c r="L15" i="6"/>
  <c r="M15" i="6" s="1"/>
  <c r="N15" i="6" s="1"/>
  <c r="L12" i="6"/>
  <c r="M12" i="6" s="1"/>
  <c r="N12" i="6" s="1"/>
  <c r="L13" i="6"/>
  <c r="M13" i="6" s="1"/>
  <c r="N13" i="6" s="1"/>
  <c r="F5" i="6"/>
  <c r="J4" i="6"/>
  <c r="K4" i="6"/>
  <c r="H6" i="6"/>
  <c r="I6" i="6" s="1"/>
  <c r="K6" i="6" l="1"/>
  <c r="J6" i="6"/>
  <c r="H5" i="6"/>
  <c r="I5" i="6" s="1"/>
  <c r="L4" i="6"/>
  <c r="M4" i="6" s="1"/>
  <c r="N4" i="6" s="1"/>
  <c r="F7" i="6"/>
  <c r="K5" i="6" l="1"/>
  <c r="J5" i="6"/>
  <c r="F8" i="6"/>
  <c r="L6" i="6"/>
  <c r="M6" i="6" s="1"/>
  <c r="N6" i="6" s="1"/>
  <c r="H7" i="6"/>
  <c r="I7" i="6" s="1"/>
  <c r="F9" i="6" l="1"/>
  <c r="H8" i="6"/>
  <c r="I8" i="6" s="1"/>
  <c r="K7" i="6"/>
  <c r="J7" i="6"/>
  <c r="L5" i="6"/>
  <c r="M5" i="6" s="1"/>
  <c r="N5" i="6" s="1"/>
  <c r="L7" i="6" l="1"/>
  <c r="M7" i="6" s="1"/>
  <c r="N7" i="6" s="1"/>
  <c r="K8" i="6"/>
  <c r="J8" i="6"/>
  <c r="H9" i="6"/>
  <c r="I9" i="6" s="1"/>
  <c r="F10" i="6"/>
  <c r="K9" i="6" l="1"/>
  <c r="J9" i="6"/>
  <c r="F11" i="6"/>
  <c r="L8" i="6"/>
  <c r="M8" i="6" s="1"/>
  <c r="N8" i="6" s="1"/>
  <c r="H10" i="6"/>
  <c r="I10" i="6" s="1"/>
  <c r="F19" i="6" l="1"/>
  <c r="J10" i="6"/>
  <c r="K10" i="6"/>
  <c r="F18" i="6"/>
  <c r="H11" i="6"/>
  <c r="I11" i="6" s="1"/>
  <c r="L9" i="6"/>
  <c r="M9" i="6" s="1"/>
  <c r="N9" i="6" s="1"/>
  <c r="L10" i="6" l="1"/>
  <c r="M10" i="6" s="1"/>
  <c r="N10" i="6" s="1"/>
  <c r="H19" i="6"/>
  <c r="I19" i="6" s="1"/>
  <c r="H18" i="6"/>
  <c r="I18" i="6" s="1"/>
  <c r="J11" i="6"/>
  <c r="K11" i="6"/>
  <c r="K18" i="6" l="1"/>
  <c r="J18" i="6"/>
  <c r="K19" i="6"/>
  <c r="J19" i="6"/>
  <c r="L11" i="6"/>
  <c r="M11" i="6" s="1"/>
  <c r="N11" i="6" s="1"/>
  <c r="L19" i="6" l="1"/>
  <c r="M19" i="6" s="1"/>
  <c r="N19" i="6" s="1"/>
  <c r="L18" i="6"/>
  <c r="M18" i="6" s="1"/>
  <c r="N18" i="6" s="1"/>
</calcChain>
</file>

<file path=xl/sharedStrings.xml><?xml version="1.0" encoding="utf-8"?>
<sst xmlns="http://schemas.openxmlformats.org/spreadsheetml/2006/main" count="361" uniqueCount="159">
  <si>
    <t>TSR</t>
  </si>
  <si>
    <t>Purpose</t>
  </si>
  <si>
    <t>-</t>
  </si>
  <si>
    <t>Sensor</t>
  </si>
  <si>
    <t>Location</t>
  </si>
  <si>
    <t>Fault Cases</t>
  </si>
  <si>
    <t>Transient Cases</t>
  </si>
  <si>
    <t>S-01</t>
  </si>
  <si>
    <t>S-02</t>
  </si>
  <si>
    <t>S-03</t>
  </si>
  <si>
    <t>S-04</t>
  </si>
  <si>
    <t>S-05</t>
  </si>
  <si>
    <t>S-06</t>
  </si>
  <si>
    <t>S-07</t>
  </si>
  <si>
    <t>S-08</t>
  </si>
  <si>
    <t>S-09</t>
  </si>
  <si>
    <t>S-10</t>
  </si>
  <si>
    <t>S-11</t>
  </si>
  <si>
    <t>T-01</t>
  </si>
  <si>
    <t>T-02</t>
  </si>
  <si>
    <t>T-03</t>
  </si>
  <si>
    <t>T-04</t>
  </si>
  <si>
    <t>F-01</t>
  </si>
  <si>
    <t>F-02</t>
  </si>
  <si>
    <t>F-03</t>
  </si>
  <si>
    <t>F-04</t>
  </si>
  <si>
    <t>F-05</t>
  </si>
  <si>
    <t>T-05</t>
  </si>
  <si>
    <t>Simulated Flow Speed (m/s)</t>
  </si>
  <si>
    <t>Case 
(#)</t>
  </si>
  <si>
    <t>Additional Cases</t>
  </si>
  <si>
    <t>SR-01</t>
  </si>
  <si>
    <t>DYN-01</t>
  </si>
  <si>
    <t>DYN-02</t>
  </si>
  <si>
    <t>DYN-03</t>
  </si>
  <si>
    <t>DYN-04</t>
  </si>
  <si>
    <t>SR-02</t>
  </si>
  <si>
    <t>SR-03</t>
  </si>
  <si>
    <t>SR-04</t>
  </si>
  <si>
    <t>Test Stall Regulation Techniques</t>
  </si>
  <si>
    <t>Input Speed</t>
  </si>
  <si>
    <t>Pump State</t>
  </si>
  <si>
    <t>Output Speed</t>
  </si>
  <si>
    <t>Fixed Disp Flow</t>
  </si>
  <si>
    <t>Variable Disp</t>
  </si>
  <si>
    <t>Total Output</t>
  </si>
  <si>
    <t>Power Output</t>
  </si>
  <si>
    <t>Model</t>
  </si>
  <si>
    <t>Number</t>
  </si>
  <si>
    <t>Displacment</t>
  </si>
  <si>
    <t>Specific Torque</t>
  </si>
  <si>
    <t>Op Torque</t>
  </si>
  <si>
    <t>Weight</t>
  </si>
  <si>
    <t>Estimated Cost</t>
  </si>
  <si>
    <t>Motor</t>
  </si>
  <si>
    <t xml:space="preserve">Torque @ 100 </t>
  </si>
  <si>
    <t>Max Torque</t>
  </si>
  <si>
    <t>m/s</t>
  </si>
  <si>
    <t>*</t>
  </si>
  <si>
    <t>cc/Rev</t>
  </si>
  <si>
    <t>kW</t>
  </si>
  <si>
    <t>Input Pump</t>
  </si>
  <si>
    <t>cc/rev</t>
  </si>
  <si>
    <t>kNm/bar</t>
  </si>
  <si>
    <t>kNm</t>
  </si>
  <si>
    <t>kg</t>
  </si>
  <si>
    <t>$</t>
  </si>
  <si>
    <t>A4VSO</t>
  </si>
  <si>
    <t>Fixed Motor</t>
  </si>
  <si>
    <t>CBP</t>
  </si>
  <si>
    <t>Variable Motor</t>
  </si>
  <si>
    <t>Rated Power</t>
  </si>
  <si>
    <t>Rated Speed</t>
  </si>
  <si>
    <t>Design TSR</t>
  </si>
  <si>
    <t>Rotor Diamter</t>
  </si>
  <si>
    <t>m</t>
  </si>
  <si>
    <t>Rated Current</t>
  </si>
  <si>
    <t xml:space="preserve">Specific Torque </t>
  </si>
  <si>
    <t>Mech Eff</t>
  </si>
  <si>
    <t>Charge P</t>
  </si>
  <si>
    <t>Fixed Disp</t>
  </si>
  <si>
    <t xml:space="preserve">Torque @ 210 </t>
  </si>
  <si>
    <t>P Loss</t>
  </si>
  <si>
    <t>A4FO</t>
  </si>
  <si>
    <t>Volumetric loss</t>
  </si>
  <si>
    <t>System Flow    (L/m)</t>
  </si>
  <si>
    <t>Input Speed (RPM)</t>
  </si>
  <si>
    <t>Fixed Motor at Rated Speed    (L/m)</t>
  </si>
  <si>
    <t>840+210</t>
  </si>
  <si>
    <t>Output Speed (RPM)</t>
  </si>
  <si>
    <t>Transmission Ratio         (XX:1)</t>
  </si>
  <si>
    <t>V</t>
  </si>
  <si>
    <t>Torque</t>
  </si>
  <si>
    <t>(m/s)</t>
  </si>
  <si>
    <t>kN*m</t>
  </si>
  <si>
    <t>Input Torque (kNm)</t>
  </si>
  <si>
    <t>Commanded Var. Disp (cc/Rev)</t>
  </si>
  <si>
    <t>System Pressure</t>
  </si>
  <si>
    <t>System Pressure (bar)</t>
  </si>
  <si>
    <t>Input Power            (kW)</t>
  </si>
  <si>
    <t>Estimated Output Power    (kw)</t>
  </si>
  <si>
    <t>System TSR</t>
  </si>
  <si>
    <t>S-12</t>
  </si>
  <si>
    <t>S-13</t>
  </si>
  <si>
    <t>S-14</t>
  </si>
  <si>
    <t>Torque    (%)</t>
  </si>
  <si>
    <t>Time</t>
  </si>
  <si>
    <t>Min Flow</t>
  </si>
  <si>
    <t>Max Flow</t>
  </si>
  <si>
    <t>Rate</t>
  </si>
  <si>
    <t>(m/s)/hr</t>
  </si>
  <si>
    <t>hr</t>
  </si>
  <si>
    <t>Static Test Cases - Run appoximately 15 min each case.</t>
  </si>
  <si>
    <t>Normal Startup @ 0.85 m/s</t>
  </si>
  <si>
    <t>High Flow Speed Shutdown at 1.8 m/s</t>
  </si>
  <si>
    <t>Ramp from 0.85 m/s to 1.8m/s over 2 hours</t>
  </si>
  <si>
    <t>T-06</t>
  </si>
  <si>
    <t>Emergency Stop</t>
  </si>
  <si>
    <t>Extreme Overspeed</t>
  </si>
  <si>
    <t>Normal Shutdown @ .85 m/s</t>
  </si>
  <si>
    <t>T-07</t>
  </si>
  <si>
    <t>High Flow Speed Startup at 2.4 m/s</t>
  </si>
  <si>
    <t>Ramp from 1.8 m/s to 0.85 m/s over 2 hours</t>
  </si>
  <si>
    <t>Loss Input Torque</t>
  </si>
  <si>
    <t>Test High Ratio Dynamics and Efficiency</t>
  </si>
  <si>
    <t>Input Torque</t>
  </si>
  <si>
    <t>System Flow</t>
  </si>
  <si>
    <t>Valve Signals</t>
  </si>
  <si>
    <t>Output Torque</t>
  </si>
  <si>
    <t>Motor Displacement</t>
  </si>
  <si>
    <t>Nomial Flow Speed Startup at 1.6 m/s</t>
  </si>
  <si>
    <t>T-08</t>
  </si>
  <si>
    <t>Power Curtailment</t>
  </si>
  <si>
    <t>Case</t>
  </si>
  <si>
    <t>Power</t>
  </si>
  <si>
    <t>LE-01</t>
  </si>
  <si>
    <t>LE-02</t>
  </si>
  <si>
    <t>LE-03</t>
  </si>
  <si>
    <t>LE-04</t>
  </si>
  <si>
    <t>LE-05</t>
  </si>
  <si>
    <t>LE-06</t>
  </si>
  <si>
    <t>LE-07</t>
  </si>
  <si>
    <t>LE-08</t>
  </si>
  <si>
    <t>LE-09</t>
  </si>
  <si>
    <t>LE-10</t>
  </si>
  <si>
    <t>LE-11</t>
  </si>
  <si>
    <t>LE-12</t>
  </si>
  <si>
    <t>PS-01</t>
  </si>
  <si>
    <t>PS-02</t>
  </si>
  <si>
    <t>PS-03</t>
  </si>
  <si>
    <t>PS-04</t>
  </si>
  <si>
    <t>PS-05</t>
  </si>
  <si>
    <t>PS-06</t>
  </si>
  <si>
    <t>OS-01</t>
  </si>
  <si>
    <t>OS-03</t>
  </si>
  <si>
    <t>OS-04</t>
  </si>
  <si>
    <t>Test Over Speed Power Regulation Techniques</t>
  </si>
  <si>
    <t>Max available power.</t>
  </si>
  <si>
    <t>PC-01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</si>
</sst>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5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/>
    <xf numFmtId="2" fontId="0" fillId="0" borderId="0" xfId="0" applyNumberFormat="1"/>
    <xf numFmtId="1" fontId="0" fillId="0" borderId="0" xfId="0" applyNumberFormat="1"/>
    <xf numFmtId="0" fontId="0" fillId="0" borderId="1" xfId="0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NumberFormat="1"/>
    <xf numFmtId="0" fontId="1" fillId="0" borderId="2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2" borderId="0" xfId="0" applyFill="1"/>
    <xf numFmtId="1" fontId="0" fillId="2" borderId="0" xfId="0" applyNumberFormat="1" applyFill="1"/>
    <xf numFmtId="164" fontId="0" fillId="0" borderId="0" xfId="0" applyNumberFormat="1" applyAlignment="1">
      <alignment horizontal="center"/>
    </xf>
    <xf numFmtId="0" fontId="0" fillId="0" borderId="1" xfId="0" applyBorder="1"/>
    <xf numFmtId="0" fontId="0" fillId="0" borderId="1" xfId="0" applyBorder="1" applyAlignment="1">
      <alignment wrapText="1"/>
    </xf>
    <xf numFmtId="2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5" fontId="0" fillId="0" borderId="0" xfId="0" applyNumberFormat="1"/>
    <xf numFmtId="2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9" fontId="0" fillId="0" borderId="0" xfId="1" applyFon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164" fontId="0" fillId="0" borderId="6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1" fontId="0" fillId="0" borderId="6" xfId="0" applyNumberFormat="1" applyFill="1" applyBorder="1" applyAlignment="1">
      <alignment horizontal="center"/>
    </xf>
    <xf numFmtId="1" fontId="0" fillId="0" borderId="7" xfId="0" applyNumberFormat="1" applyFill="1" applyBorder="1" applyAlignment="1">
      <alignment horizontal="center"/>
    </xf>
    <xf numFmtId="1" fontId="0" fillId="0" borderId="8" xfId="0" applyNumberFormat="1" applyFill="1" applyBorder="1" applyAlignment="1">
      <alignment horizontal="center"/>
    </xf>
    <xf numFmtId="9" fontId="0" fillId="0" borderId="6" xfId="1" applyFont="1" applyBorder="1" applyAlignment="1">
      <alignment horizontal="center"/>
    </xf>
    <xf numFmtId="9" fontId="0" fillId="0" borderId="7" xfId="1" applyFont="1" applyBorder="1" applyAlignment="1">
      <alignment horizontal="center"/>
    </xf>
    <xf numFmtId="9" fontId="0" fillId="0" borderId="8" xfId="1" applyFon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9" fontId="0" fillId="0" borderId="1" xfId="1" applyFont="1" applyBorder="1" applyAlignment="1">
      <alignment horizontal="center"/>
    </xf>
    <xf numFmtId="0" fontId="0" fillId="0" borderId="0" xfId="0" applyFill="1" applyBorder="1"/>
    <xf numFmtId="0" fontId="1" fillId="0" borderId="4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0" fillId="0" borderId="1" xfId="0" applyNumberFormat="1" applyBorder="1"/>
    <xf numFmtId="2" fontId="0" fillId="0" borderId="0" xfId="0" applyNumberFormat="1" applyFill="1" applyBorder="1" applyAlignment="1">
      <alignment horizontal="center"/>
    </xf>
    <xf numFmtId="0" fontId="1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335280</xdr:colOff>
      <xdr:row>24</xdr:row>
      <xdr:rowOff>91440</xdr:rowOff>
    </xdr:from>
    <xdr:to>
      <xdr:col>35</xdr:col>
      <xdr:colOff>594361</xdr:colOff>
      <xdr:row>52</xdr:row>
      <xdr:rowOff>53340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13680" y="6187440"/>
          <a:ext cx="5983605" cy="6819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28</xdr:col>
      <xdr:colOff>243840</xdr:colOff>
      <xdr:row>22</xdr:row>
      <xdr:rowOff>158115</xdr:rowOff>
    </xdr:from>
    <xdr:to>
      <xdr:col>33</xdr:col>
      <xdr:colOff>277463</xdr:colOff>
      <xdr:row>43</xdr:row>
      <xdr:rowOff>20955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27240" y="4730115"/>
          <a:ext cx="3615024" cy="50063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S83"/>
  <sheetViews>
    <sheetView tabSelected="1" topLeftCell="A28" zoomScale="90" zoomScaleNormal="90" workbookViewId="0">
      <selection activeCell="B47" sqref="B47:S49"/>
    </sheetView>
  </sheetViews>
  <sheetFormatPr defaultRowHeight="15" x14ac:dyDescent="0.25"/>
  <cols>
    <col min="1" max="1" width="9.140625" style="2"/>
    <col min="2" max="2" width="13.85546875" customWidth="1"/>
    <col min="3" max="3" width="12.85546875" style="8" customWidth="1"/>
    <col min="4" max="4" width="10.28515625" style="2" customWidth="1"/>
    <col min="5" max="5" width="10.7109375" style="2" customWidth="1"/>
    <col min="6" max="6" width="10.85546875" style="2" customWidth="1"/>
    <col min="7" max="7" width="11.85546875" style="2" hidden="1" customWidth="1"/>
    <col min="8" max="8" width="10.7109375" style="2" hidden="1" customWidth="1"/>
    <col min="9" max="9" width="10.7109375" style="2" customWidth="1"/>
    <col min="10" max="10" width="13.5703125" style="2" hidden="1" customWidth="1"/>
    <col min="11" max="11" width="10.7109375" style="2" hidden="1" customWidth="1"/>
    <col min="12" max="12" width="15" style="2" customWidth="1"/>
    <col min="13" max="14" width="10.7109375" style="2" hidden="1" customWidth="1"/>
    <col min="15" max="17" width="10.7109375" style="2" customWidth="1"/>
    <col min="18" max="18" width="11" style="2" customWidth="1"/>
    <col min="19" max="19" width="13.42578125" style="2" customWidth="1"/>
    <col min="20" max="20" width="39.5703125" bestFit="1" customWidth="1"/>
    <col min="21" max="21" width="11.28515625" style="2" customWidth="1"/>
    <col min="22" max="22" width="14" style="2" bestFit="1" customWidth="1"/>
    <col min="23" max="27" width="9.140625" style="2"/>
    <col min="28" max="29" width="9.7109375" style="2" customWidth="1"/>
    <col min="30" max="30" width="11" style="2" bestFit="1" customWidth="1"/>
    <col min="31" max="31" width="13.5703125" style="2" bestFit="1" customWidth="1"/>
    <col min="32" max="33" width="9.7109375" style="2" customWidth="1"/>
    <col min="34" max="34" width="13.28515625" style="2" bestFit="1" customWidth="1"/>
    <col min="35" max="36" width="9.140625" style="2"/>
    <col min="37" max="37" width="11.5703125" style="2" bestFit="1" customWidth="1"/>
    <col min="38" max="38" width="12.85546875" style="2" bestFit="1" customWidth="1"/>
    <col min="39" max="39" width="10.7109375" style="2" bestFit="1" customWidth="1"/>
    <col min="40" max="40" width="6.7109375" style="2" bestFit="1" customWidth="1"/>
    <col min="41" max="43" width="9.140625" style="2"/>
    <col min="44" max="44" width="13" style="2" bestFit="1" customWidth="1"/>
    <col min="45" max="16384" width="9.140625" style="2"/>
  </cols>
  <sheetData>
    <row r="1" spans="2:45" x14ac:dyDescent="0.25">
      <c r="B1" s="2"/>
      <c r="T1" s="2"/>
    </row>
    <row r="2" spans="2:45" x14ac:dyDescent="0.25">
      <c r="B2" t="s">
        <v>112</v>
      </c>
    </row>
    <row r="3" spans="2:45" ht="60" x14ac:dyDescent="0.25">
      <c r="B3" s="1" t="s">
        <v>29</v>
      </c>
      <c r="C3" s="9" t="s">
        <v>28</v>
      </c>
      <c r="D3" s="9" t="s">
        <v>101</v>
      </c>
      <c r="E3" s="9" t="s">
        <v>86</v>
      </c>
      <c r="F3" s="9" t="s">
        <v>85</v>
      </c>
      <c r="G3" s="9" t="s">
        <v>87</v>
      </c>
      <c r="H3" s="9" t="s">
        <v>41</v>
      </c>
      <c r="I3" s="9" t="s">
        <v>89</v>
      </c>
      <c r="J3" s="9" t="s">
        <v>90</v>
      </c>
      <c r="K3" s="9" t="s">
        <v>43</v>
      </c>
      <c r="L3" s="9" t="s">
        <v>96</v>
      </c>
      <c r="M3" s="9" t="s">
        <v>44</v>
      </c>
      <c r="N3" s="9" t="s">
        <v>45</v>
      </c>
      <c r="O3" s="9" t="s">
        <v>105</v>
      </c>
      <c r="P3" s="9" t="s">
        <v>95</v>
      </c>
      <c r="Q3" s="9" t="s">
        <v>98</v>
      </c>
      <c r="R3" s="9" t="s">
        <v>99</v>
      </c>
      <c r="S3" s="9" t="s">
        <v>100</v>
      </c>
      <c r="T3" s="9" t="s">
        <v>1</v>
      </c>
      <c r="U3" s="11"/>
      <c r="AB3" s="2" t="s">
        <v>47</v>
      </c>
      <c r="AC3" s="2" t="s">
        <v>48</v>
      </c>
      <c r="AD3" s="2" t="s">
        <v>49</v>
      </c>
      <c r="AE3" s="2" t="s">
        <v>50</v>
      </c>
      <c r="AF3" s="2" t="s">
        <v>51</v>
      </c>
      <c r="AG3" s="2" t="s">
        <v>52</v>
      </c>
      <c r="AH3" s="2" t="s">
        <v>53</v>
      </c>
      <c r="AJ3" s="2" t="s">
        <v>54</v>
      </c>
      <c r="AK3" s="2" t="s">
        <v>44</v>
      </c>
      <c r="AL3" s="2" t="s">
        <v>55</v>
      </c>
      <c r="AM3" s="2" t="s">
        <v>56</v>
      </c>
      <c r="AN3" s="2" t="s">
        <v>52</v>
      </c>
      <c r="AP3" s="17" t="s">
        <v>91</v>
      </c>
      <c r="AQ3" s="17" t="s">
        <v>0</v>
      </c>
      <c r="AR3" s="17" t="s">
        <v>92</v>
      </c>
      <c r="AS3" s="17" t="s">
        <v>134</v>
      </c>
    </row>
    <row r="4" spans="2:45" x14ac:dyDescent="0.25">
      <c r="B4" s="33" t="s">
        <v>7</v>
      </c>
      <c r="C4" s="36">
        <v>0.8</v>
      </c>
      <c r="D4" s="36">
        <f t="shared" ref="D4:D15" si="0">LOOKUP($C4,$AP$5:$AP$30,$AQ$5:$AQ$30)</f>
        <v>7.9999999500000456</v>
      </c>
      <c r="E4" s="36">
        <f>((C4*D4)/($X$10/2))*(60/(2*PI()))</f>
        <v>6.2362752821751322</v>
      </c>
      <c r="F4" s="36">
        <f t="shared" ref="F4:F19" si="1">E4*($X$4*$Y$4)/1000-$X$16</f>
        <v>411.59416862355869</v>
      </c>
      <c r="G4" s="21">
        <f>($X$5*$Y$5)*$X$8/1000</f>
        <v>375</v>
      </c>
      <c r="H4" s="22">
        <f>IF(G4&gt;=F4,1, 2)</f>
        <v>2</v>
      </c>
      <c r="I4" s="42">
        <f t="shared" ref="I4:I19" si="2">IF(H4=1,(F4*1000)/($Y$5*$X$5),$X$8)</f>
        <v>1500</v>
      </c>
      <c r="J4" s="36">
        <f>I4/E4</f>
        <v>240.52818904376835</v>
      </c>
      <c r="K4" s="21">
        <f t="shared" ref="K4:K19" si="3">(I4*$X$5/1000-$X$16)*$Y$5</f>
        <v>375</v>
      </c>
      <c r="L4" s="36">
        <f t="shared" ref="L4:L19" si="4">(((F4-K4)+$X$15)*1000/$I$4)/$Y$6</f>
        <v>24.396112415705794</v>
      </c>
      <c r="M4" s="21">
        <f t="shared" ref="M4:M19" si="5">$Y$6*I4*L4/1000</f>
        <v>36.594168623558687</v>
      </c>
      <c r="N4" s="21">
        <f>SUM(K4,M4)</f>
        <v>411.59416862355869</v>
      </c>
      <c r="O4" s="45">
        <v>0.25</v>
      </c>
      <c r="P4" s="36">
        <f t="shared" ref="P4:P15" si="6">O4*LOOKUP($C4,$AP$5:$AP$30,$AR$5:$AR$30)</f>
        <v>13.697959967421983</v>
      </c>
      <c r="Q4" s="36">
        <f t="shared" ref="Q4:Q19" si="7">P4*1000/$X$12</f>
        <v>13.045676159449508</v>
      </c>
      <c r="R4" s="39">
        <f>P4*(2*PI()*E4/60)</f>
        <v>8.9456064534268158</v>
      </c>
      <c r="S4" s="39">
        <f>R4*0.85</f>
        <v>7.6037654854127936</v>
      </c>
      <c r="T4" s="30"/>
      <c r="V4" s="2" t="s">
        <v>61</v>
      </c>
      <c r="W4" s="2" t="s">
        <v>59</v>
      </c>
      <c r="X4" s="2">
        <v>66000</v>
      </c>
      <c r="Y4" s="2">
        <v>1</v>
      </c>
      <c r="AB4" s="12" t="s">
        <v>2</v>
      </c>
      <c r="AC4" s="12" t="s">
        <v>2</v>
      </c>
      <c r="AD4" s="12" t="s">
        <v>62</v>
      </c>
      <c r="AE4" s="12" t="s">
        <v>63</v>
      </c>
      <c r="AF4" s="12" t="s">
        <v>64</v>
      </c>
      <c r="AG4" s="12" t="s">
        <v>65</v>
      </c>
      <c r="AH4" s="12" t="s">
        <v>66</v>
      </c>
      <c r="AJ4" s="12" t="s">
        <v>67</v>
      </c>
      <c r="AK4" s="2">
        <v>40</v>
      </c>
      <c r="AL4" s="2">
        <v>64</v>
      </c>
      <c r="AM4" s="2">
        <f t="shared" ref="AM4:AM11" si="8">AL4*3.5</f>
        <v>224</v>
      </c>
      <c r="AN4" s="2">
        <v>39</v>
      </c>
      <c r="AP4" s="5" t="s">
        <v>93</v>
      </c>
      <c r="AQ4" s="5" t="s">
        <v>58</v>
      </c>
      <c r="AR4" s="5" t="s">
        <v>94</v>
      </c>
      <c r="AS4" s="5" t="s">
        <v>60</v>
      </c>
    </row>
    <row r="5" spans="2:45" x14ac:dyDescent="0.25">
      <c r="B5" s="34" t="s">
        <v>8</v>
      </c>
      <c r="C5" s="37">
        <v>0.8</v>
      </c>
      <c r="D5" s="37">
        <f t="shared" si="0"/>
        <v>7.9999999500000456</v>
      </c>
      <c r="E5" s="37">
        <f t="shared" ref="E5:E19" si="9">((C5*D5)/($X$10/2))*(60/(2*PI()))</f>
        <v>6.2362752821751322</v>
      </c>
      <c r="F5" s="37">
        <f t="shared" si="1"/>
        <v>411.59416862355869</v>
      </c>
      <c r="G5" s="24">
        <f>($X$5*$Y$5)*$X$8/1000</f>
        <v>375</v>
      </c>
      <c r="H5" s="25">
        <f>IF(G5&gt;=F5,1, 2)</f>
        <v>2</v>
      </c>
      <c r="I5" s="43">
        <f t="shared" si="2"/>
        <v>1500</v>
      </c>
      <c r="J5" s="37">
        <f>I5/E5</f>
        <v>240.52818904376835</v>
      </c>
      <c r="K5" s="24">
        <f t="shared" si="3"/>
        <v>375</v>
      </c>
      <c r="L5" s="37">
        <f t="shared" si="4"/>
        <v>24.396112415705794</v>
      </c>
      <c r="M5" s="24">
        <f t="shared" si="5"/>
        <v>36.594168623558687</v>
      </c>
      <c r="N5" s="24">
        <f>SUM(K5,M5)</f>
        <v>411.59416862355869</v>
      </c>
      <c r="O5" s="46">
        <v>0.5</v>
      </c>
      <c r="P5" s="37">
        <f t="shared" si="6"/>
        <v>27.395919934843967</v>
      </c>
      <c r="Q5" s="37">
        <f t="shared" si="7"/>
        <v>26.091352318899016</v>
      </c>
      <c r="R5" s="40">
        <f t="shared" ref="R5:R19" si="10">P5*(2*PI()*E5/60)</f>
        <v>17.891212906853632</v>
      </c>
      <c r="S5" s="40">
        <f t="shared" ref="S5:S19" si="11">R5*0.85</f>
        <v>15.207530970825587</v>
      </c>
      <c r="T5" s="31"/>
      <c r="U5" s="3"/>
      <c r="V5" s="2" t="s">
        <v>68</v>
      </c>
      <c r="W5" s="2" t="s">
        <v>59</v>
      </c>
      <c r="X5" s="2">
        <v>250</v>
      </c>
      <c r="Y5" s="2">
        <v>1</v>
      </c>
      <c r="AB5" s="2" t="s">
        <v>69</v>
      </c>
      <c r="AC5" s="2" t="s">
        <v>88</v>
      </c>
      <c r="AD5" s="2">
        <v>66000</v>
      </c>
      <c r="AE5" s="2">
        <f>840+210</f>
        <v>1050</v>
      </c>
      <c r="AF5" s="2">
        <f t="shared" ref="AF5" si="12">AE5*210/1000</f>
        <v>220.5</v>
      </c>
      <c r="AG5" s="4"/>
      <c r="AJ5" s="12" t="s">
        <v>67</v>
      </c>
      <c r="AK5" s="2">
        <v>71</v>
      </c>
      <c r="AL5" s="2">
        <v>113</v>
      </c>
      <c r="AM5" s="2">
        <f t="shared" si="8"/>
        <v>395.5</v>
      </c>
      <c r="AN5" s="2">
        <v>53</v>
      </c>
      <c r="AP5" s="19">
        <v>0</v>
      </c>
      <c r="AQ5" s="19">
        <v>8</v>
      </c>
      <c r="AR5" s="5">
        <v>0</v>
      </c>
      <c r="AS5" s="5">
        <v>0</v>
      </c>
    </row>
    <row r="6" spans="2:45" x14ac:dyDescent="0.25">
      <c r="B6" s="34" t="s">
        <v>9</v>
      </c>
      <c r="C6" s="37">
        <v>0.8</v>
      </c>
      <c r="D6" s="37">
        <f t="shared" si="0"/>
        <v>7.9999999500000456</v>
      </c>
      <c r="E6" s="37">
        <f t="shared" si="9"/>
        <v>6.2362752821751322</v>
      </c>
      <c r="F6" s="37">
        <f t="shared" si="1"/>
        <v>411.59416862355869</v>
      </c>
      <c r="G6" s="24">
        <f>($X$5*$Y$5)*$X$8/1000</f>
        <v>375</v>
      </c>
      <c r="H6" s="25">
        <f>IF(G6&gt;=F6,1, 2)</f>
        <v>2</v>
      </c>
      <c r="I6" s="43">
        <f t="shared" si="2"/>
        <v>1500</v>
      </c>
      <c r="J6" s="37">
        <f>I6/E6</f>
        <v>240.52818904376835</v>
      </c>
      <c r="K6" s="24">
        <f t="shared" si="3"/>
        <v>375</v>
      </c>
      <c r="L6" s="37">
        <f t="shared" si="4"/>
        <v>24.396112415705794</v>
      </c>
      <c r="M6" s="24">
        <f t="shared" si="5"/>
        <v>36.594168623558687</v>
      </c>
      <c r="N6" s="24">
        <f>SUM(K6,M6)</f>
        <v>411.59416862355869</v>
      </c>
      <c r="O6" s="46">
        <v>0.75</v>
      </c>
      <c r="P6" s="37">
        <f t="shared" si="6"/>
        <v>41.093879902265954</v>
      </c>
      <c r="Q6" s="37">
        <f t="shared" si="7"/>
        <v>39.137028478348526</v>
      </c>
      <c r="R6" s="40">
        <f t="shared" si="10"/>
        <v>26.836819360280451</v>
      </c>
      <c r="S6" s="40">
        <f t="shared" si="11"/>
        <v>22.811296456238384</v>
      </c>
      <c r="T6" s="31"/>
      <c r="U6" s="3"/>
      <c r="V6" s="2" t="s">
        <v>70</v>
      </c>
      <c r="W6" s="2" t="s">
        <v>59</v>
      </c>
      <c r="X6" s="2">
        <v>355</v>
      </c>
      <c r="Y6" s="2">
        <v>1</v>
      </c>
      <c r="AJ6" s="12" t="s">
        <v>67</v>
      </c>
      <c r="AK6" s="2">
        <v>125</v>
      </c>
      <c r="AL6" s="2">
        <v>199</v>
      </c>
      <c r="AM6" s="2">
        <f t="shared" si="8"/>
        <v>696.5</v>
      </c>
      <c r="AN6" s="2">
        <v>88</v>
      </c>
      <c r="AP6" s="19">
        <v>0.1</v>
      </c>
      <c r="AQ6" s="19">
        <v>7.9999999500000456</v>
      </c>
      <c r="AR6" s="19">
        <v>1.0953292097307976</v>
      </c>
      <c r="AS6" s="19">
        <v>0</v>
      </c>
    </row>
    <row r="7" spans="2:45" x14ac:dyDescent="0.25">
      <c r="B7" s="35" t="s">
        <v>10</v>
      </c>
      <c r="C7" s="38">
        <v>0.8</v>
      </c>
      <c r="D7" s="38">
        <f t="shared" si="0"/>
        <v>7.9999999500000456</v>
      </c>
      <c r="E7" s="38">
        <f t="shared" si="9"/>
        <v>6.2362752821751322</v>
      </c>
      <c r="F7" s="38">
        <f t="shared" si="1"/>
        <v>411.59416862355869</v>
      </c>
      <c r="G7" s="28">
        <f t="shared" ref="G7:G19" si="13">($X$5*$Y$5)*$X$8/1000</f>
        <v>375</v>
      </c>
      <c r="H7" s="29">
        <f t="shared" ref="H7:H19" si="14">IF(G7&gt;=F7,1, 2)</f>
        <v>2</v>
      </c>
      <c r="I7" s="44">
        <f t="shared" si="2"/>
        <v>1500</v>
      </c>
      <c r="J7" s="38">
        <f t="shared" ref="J7:J19" si="15">I7/E7</f>
        <v>240.52818904376835</v>
      </c>
      <c r="K7" s="28">
        <f t="shared" si="3"/>
        <v>375</v>
      </c>
      <c r="L7" s="38">
        <f t="shared" si="4"/>
        <v>24.396112415705794</v>
      </c>
      <c r="M7" s="28">
        <f t="shared" si="5"/>
        <v>36.594168623558687</v>
      </c>
      <c r="N7" s="28">
        <f t="shared" ref="N7:N19" si="16">SUM(K7,M7)</f>
        <v>411.59416862355869</v>
      </c>
      <c r="O7" s="47">
        <v>1</v>
      </c>
      <c r="P7" s="38">
        <f t="shared" si="6"/>
        <v>54.791839869687934</v>
      </c>
      <c r="Q7" s="38">
        <f t="shared" si="7"/>
        <v>52.182704637798032</v>
      </c>
      <c r="R7" s="41">
        <f t="shared" si="10"/>
        <v>35.782425813707263</v>
      </c>
      <c r="S7" s="41">
        <f t="shared" si="11"/>
        <v>30.415061941651174</v>
      </c>
      <c r="T7" s="32"/>
      <c r="U7" s="3"/>
      <c r="V7" s="2" t="s">
        <v>71</v>
      </c>
      <c r="X7" s="2">
        <v>250</v>
      </c>
      <c r="AJ7" s="12" t="s">
        <v>67</v>
      </c>
      <c r="AK7" s="2">
        <v>180</v>
      </c>
      <c r="AL7" s="2">
        <v>286</v>
      </c>
      <c r="AM7" s="2">
        <f t="shared" si="8"/>
        <v>1001</v>
      </c>
      <c r="AN7" s="2">
        <v>102</v>
      </c>
      <c r="AP7" s="19">
        <v>0.2</v>
      </c>
      <c r="AQ7" s="19">
        <v>7.9999999500000456</v>
      </c>
      <c r="AR7" s="19">
        <v>2.2225870441986877</v>
      </c>
      <c r="AS7" s="19">
        <v>0</v>
      </c>
    </row>
    <row r="8" spans="2:45" x14ac:dyDescent="0.25">
      <c r="B8" s="33" t="s">
        <v>11</v>
      </c>
      <c r="C8" s="36">
        <v>1.2</v>
      </c>
      <c r="D8" s="36">
        <f t="shared" si="0"/>
        <v>7.9999999500000172</v>
      </c>
      <c r="E8" s="36">
        <f t="shared" si="9"/>
        <v>9.3544129232626645</v>
      </c>
      <c r="F8" s="36">
        <f t="shared" si="1"/>
        <v>617.39125293533584</v>
      </c>
      <c r="G8" s="21">
        <f t="shared" si="13"/>
        <v>375</v>
      </c>
      <c r="H8" s="22">
        <f t="shared" si="14"/>
        <v>2</v>
      </c>
      <c r="I8" s="42">
        <f t="shared" si="2"/>
        <v>1500</v>
      </c>
      <c r="J8" s="36">
        <f t="shared" si="15"/>
        <v>160.35212602917949</v>
      </c>
      <c r="K8" s="21">
        <f t="shared" si="3"/>
        <v>375</v>
      </c>
      <c r="L8" s="36">
        <f t="shared" si="4"/>
        <v>161.59416862355724</v>
      </c>
      <c r="M8" s="21">
        <f t="shared" si="5"/>
        <v>242.39125293533584</v>
      </c>
      <c r="N8" s="21">
        <f t="shared" si="16"/>
        <v>617.39125293533584</v>
      </c>
      <c r="O8" s="45">
        <v>0.25</v>
      </c>
      <c r="P8" s="36">
        <f t="shared" si="6"/>
        <v>30.832088067541314</v>
      </c>
      <c r="Q8" s="36">
        <f t="shared" si="7"/>
        <v>29.363893397658394</v>
      </c>
      <c r="R8" s="39">
        <f t="shared" si="10"/>
        <v>30.202861591680808</v>
      </c>
      <c r="S8" s="39">
        <f t="shared" si="11"/>
        <v>25.672432352928688</v>
      </c>
      <c r="T8" s="30"/>
      <c r="U8" s="3"/>
      <c r="V8" s="2" t="s">
        <v>72</v>
      </c>
      <c r="X8" s="2">
        <v>1500</v>
      </c>
      <c r="AJ8" s="12" t="s">
        <v>67</v>
      </c>
      <c r="AK8" s="2">
        <v>250</v>
      </c>
      <c r="AL8" s="2">
        <v>398</v>
      </c>
      <c r="AM8" s="2">
        <f t="shared" si="8"/>
        <v>1393</v>
      </c>
      <c r="AN8" s="2">
        <v>184</v>
      </c>
      <c r="AP8" s="19">
        <v>0.3</v>
      </c>
      <c r="AQ8" s="19">
        <v>7.9999999500000172</v>
      </c>
      <c r="AR8" s="19">
        <v>2.3724741992144813</v>
      </c>
      <c r="AS8" s="19">
        <v>0</v>
      </c>
    </row>
    <row r="9" spans="2:45" x14ac:dyDescent="0.25">
      <c r="B9" s="34" t="s">
        <v>12</v>
      </c>
      <c r="C9" s="37">
        <v>1.2</v>
      </c>
      <c r="D9" s="37">
        <f t="shared" si="0"/>
        <v>7.9999999500000172</v>
      </c>
      <c r="E9" s="37">
        <f t="shared" si="9"/>
        <v>9.3544129232626645</v>
      </c>
      <c r="F9" s="37">
        <f t="shared" si="1"/>
        <v>617.39125293533584</v>
      </c>
      <c r="G9" s="24">
        <f t="shared" si="13"/>
        <v>375</v>
      </c>
      <c r="H9" s="25">
        <f t="shared" si="14"/>
        <v>2</v>
      </c>
      <c r="I9" s="43">
        <f t="shared" si="2"/>
        <v>1500</v>
      </c>
      <c r="J9" s="37">
        <f t="shared" si="15"/>
        <v>160.35212602917949</v>
      </c>
      <c r="K9" s="24">
        <f t="shared" si="3"/>
        <v>375</v>
      </c>
      <c r="L9" s="37">
        <f t="shared" si="4"/>
        <v>161.59416862355724</v>
      </c>
      <c r="M9" s="24">
        <f t="shared" si="5"/>
        <v>242.39125293533584</v>
      </c>
      <c r="N9" s="24">
        <f t="shared" si="16"/>
        <v>617.39125293533584</v>
      </c>
      <c r="O9" s="46">
        <v>0.5</v>
      </c>
      <c r="P9" s="37">
        <f t="shared" si="6"/>
        <v>61.664176135082627</v>
      </c>
      <c r="Q9" s="37">
        <f t="shared" si="7"/>
        <v>58.727786795316788</v>
      </c>
      <c r="R9" s="40">
        <f t="shared" si="10"/>
        <v>60.405723183361616</v>
      </c>
      <c r="S9" s="40">
        <f t="shared" si="11"/>
        <v>51.344864705857375</v>
      </c>
      <c r="T9" s="31"/>
      <c r="U9" s="3"/>
      <c r="V9" s="2" t="s">
        <v>73</v>
      </c>
      <c r="X9" s="2">
        <v>8</v>
      </c>
      <c r="AJ9" s="12" t="s">
        <v>67</v>
      </c>
      <c r="AK9" s="2">
        <v>355</v>
      </c>
      <c r="AL9" s="2">
        <v>564</v>
      </c>
      <c r="AM9" s="2">
        <f t="shared" si="8"/>
        <v>1974</v>
      </c>
      <c r="AN9" s="2">
        <v>207</v>
      </c>
      <c r="AP9" s="19">
        <v>0.4</v>
      </c>
      <c r="AQ9" s="19">
        <v>7.9999999500000456</v>
      </c>
      <c r="AR9" s="19">
        <v>2.6208079471696415</v>
      </c>
      <c r="AS9" s="19">
        <v>0</v>
      </c>
    </row>
    <row r="10" spans="2:45" x14ac:dyDescent="0.25">
      <c r="B10" s="34" t="s">
        <v>13</v>
      </c>
      <c r="C10" s="37">
        <v>1.2</v>
      </c>
      <c r="D10" s="37">
        <f t="shared" si="0"/>
        <v>7.9999999500000172</v>
      </c>
      <c r="E10" s="37">
        <f t="shared" si="9"/>
        <v>9.3544129232626645</v>
      </c>
      <c r="F10" s="37">
        <f t="shared" si="1"/>
        <v>617.39125293533584</v>
      </c>
      <c r="G10" s="24">
        <f t="shared" si="13"/>
        <v>375</v>
      </c>
      <c r="H10" s="25">
        <f t="shared" si="14"/>
        <v>2</v>
      </c>
      <c r="I10" s="43">
        <f t="shared" si="2"/>
        <v>1500</v>
      </c>
      <c r="J10" s="37">
        <f t="shared" si="15"/>
        <v>160.35212602917949</v>
      </c>
      <c r="K10" s="24">
        <f t="shared" si="3"/>
        <v>375</v>
      </c>
      <c r="L10" s="37">
        <f t="shared" si="4"/>
        <v>161.59416862355724</v>
      </c>
      <c r="M10" s="24">
        <f t="shared" si="5"/>
        <v>242.39125293533584</v>
      </c>
      <c r="N10" s="24">
        <f t="shared" si="16"/>
        <v>617.39125293533584</v>
      </c>
      <c r="O10" s="46">
        <v>0.75</v>
      </c>
      <c r="P10" s="37">
        <f t="shared" si="6"/>
        <v>92.496264202623934</v>
      </c>
      <c r="Q10" s="37">
        <f t="shared" si="7"/>
        <v>88.091680192975176</v>
      </c>
      <c r="R10" s="40">
        <f t="shared" si="10"/>
        <v>90.608584775042416</v>
      </c>
      <c r="S10" s="40">
        <f t="shared" si="11"/>
        <v>77.017297058786056</v>
      </c>
      <c r="T10" s="31"/>
      <c r="U10" s="3"/>
      <c r="V10" s="2" t="s">
        <v>74</v>
      </c>
      <c r="W10" s="2" t="s">
        <v>75</v>
      </c>
      <c r="X10" s="3">
        <f>9.8*2</f>
        <v>19.600000000000001</v>
      </c>
      <c r="AJ10" s="12" t="s">
        <v>67</v>
      </c>
      <c r="AK10" s="2">
        <v>500</v>
      </c>
      <c r="AL10" s="2">
        <v>795</v>
      </c>
      <c r="AM10" s="2">
        <f t="shared" si="8"/>
        <v>2782.5</v>
      </c>
      <c r="AN10" s="2">
        <v>320</v>
      </c>
      <c r="AP10" s="19">
        <v>0.5</v>
      </c>
      <c r="AQ10" s="19">
        <v>7.9999999500000456</v>
      </c>
      <c r="AR10" s="19">
        <v>2.9489632569675326</v>
      </c>
      <c r="AS10" s="19">
        <v>0</v>
      </c>
    </row>
    <row r="11" spans="2:45" x14ac:dyDescent="0.25">
      <c r="B11" s="35" t="s">
        <v>14</v>
      </c>
      <c r="C11" s="38">
        <v>1.2</v>
      </c>
      <c r="D11" s="38">
        <f t="shared" si="0"/>
        <v>7.9999999500000172</v>
      </c>
      <c r="E11" s="38">
        <f t="shared" si="9"/>
        <v>9.3544129232626645</v>
      </c>
      <c r="F11" s="38">
        <f t="shared" si="1"/>
        <v>617.39125293533584</v>
      </c>
      <c r="G11" s="28">
        <f t="shared" si="13"/>
        <v>375</v>
      </c>
      <c r="H11" s="29">
        <f t="shared" si="14"/>
        <v>2</v>
      </c>
      <c r="I11" s="44">
        <f t="shared" si="2"/>
        <v>1500</v>
      </c>
      <c r="J11" s="38">
        <f t="shared" si="15"/>
        <v>160.35212602917949</v>
      </c>
      <c r="K11" s="28">
        <f t="shared" si="3"/>
        <v>375</v>
      </c>
      <c r="L11" s="38">
        <f t="shared" si="4"/>
        <v>161.59416862355724</v>
      </c>
      <c r="M11" s="28">
        <f t="shared" si="5"/>
        <v>242.39125293533584</v>
      </c>
      <c r="N11" s="28">
        <f t="shared" si="16"/>
        <v>617.39125293533584</v>
      </c>
      <c r="O11" s="47">
        <v>1</v>
      </c>
      <c r="P11" s="38">
        <f t="shared" si="6"/>
        <v>123.32835227016525</v>
      </c>
      <c r="Q11" s="38">
        <f t="shared" si="7"/>
        <v>117.45557359063358</v>
      </c>
      <c r="R11" s="41">
        <f t="shared" si="10"/>
        <v>120.81144636672323</v>
      </c>
      <c r="S11" s="41">
        <f t="shared" si="11"/>
        <v>102.68972941171475</v>
      </c>
      <c r="T11" s="32"/>
      <c r="U11" s="3"/>
      <c r="V11" s="2" t="s">
        <v>76</v>
      </c>
      <c r="X11" s="2">
        <v>1.6</v>
      </c>
      <c r="AJ11" s="12" t="s">
        <v>67</v>
      </c>
      <c r="AK11" s="2">
        <v>750</v>
      </c>
      <c r="AL11" s="2">
        <v>1193</v>
      </c>
      <c r="AM11" s="2">
        <f t="shared" si="8"/>
        <v>4175.5</v>
      </c>
      <c r="AN11" s="2">
        <v>460</v>
      </c>
      <c r="AP11" s="19">
        <v>0.6</v>
      </c>
      <c r="AQ11" s="19">
        <v>7.9999999500000172</v>
      </c>
      <c r="AR11" s="19">
        <v>3.3480710661811841</v>
      </c>
      <c r="AS11" s="19">
        <v>0</v>
      </c>
    </row>
    <row r="12" spans="2:45" x14ac:dyDescent="0.25">
      <c r="B12" s="33" t="s">
        <v>15</v>
      </c>
      <c r="C12" s="36">
        <v>1.6</v>
      </c>
      <c r="D12" s="36">
        <f t="shared" si="0"/>
        <v>8</v>
      </c>
      <c r="E12" s="36">
        <f t="shared" ref="E12:E17" si="17">((C12*D12)/($X$10/2))*(60/(2*PI()))</f>
        <v>12.472550642303634</v>
      </c>
      <c r="F12" s="36">
        <f t="shared" si="1"/>
        <v>823.18834239203989</v>
      </c>
      <c r="G12" s="21">
        <f t="shared" si="13"/>
        <v>375</v>
      </c>
      <c r="H12" s="22">
        <f t="shared" ref="H12:H17" si="18">IF(G12&gt;=F12,1, 2)</f>
        <v>2</v>
      </c>
      <c r="I12" s="42">
        <f t="shared" si="2"/>
        <v>1500</v>
      </c>
      <c r="J12" s="36">
        <f t="shared" ref="J12:J17" si="19">I12/E12</f>
        <v>120.26409377023427</v>
      </c>
      <c r="K12" s="21">
        <f t="shared" si="3"/>
        <v>375</v>
      </c>
      <c r="L12" s="36">
        <f t="shared" si="4"/>
        <v>298.79222826135992</v>
      </c>
      <c r="M12" s="21">
        <f t="shared" si="5"/>
        <v>448.18834239203989</v>
      </c>
      <c r="N12" s="21">
        <f t="shared" ref="N12:N17" si="20">SUM(K12,M12)</f>
        <v>823.18834239203989</v>
      </c>
      <c r="O12" s="45">
        <v>0.25</v>
      </c>
      <c r="P12" s="36">
        <f t="shared" si="6"/>
        <v>54.825948250632159</v>
      </c>
      <c r="Q12" s="36">
        <f t="shared" si="7"/>
        <v>52.215188810125866</v>
      </c>
      <c r="R12" s="39">
        <f t="shared" ref="R12:R17" si="21">P12*(2*PI()*E12/60)</f>
        <v>71.609401796744052</v>
      </c>
      <c r="S12" s="39">
        <f t="shared" ref="S12:S17" si="22">R12*0.85</f>
        <v>60.867991527232441</v>
      </c>
      <c r="T12" s="30"/>
      <c r="U12" s="3"/>
      <c r="V12" s="2" t="s">
        <v>77</v>
      </c>
      <c r="X12" s="2">
        <v>1050</v>
      </c>
      <c r="Y12" s="2">
        <f>X12*210/1000</f>
        <v>220.5</v>
      </c>
      <c r="AJ12" s="12" t="s">
        <v>67</v>
      </c>
      <c r="AK12" s="2">
        <v>1000</v>
      </c>
      <c r="AL12" s="2">
        <v>1590</v>
      </c>
      <c r="AM12" s="2">
        <f>AL12*3.5</f>
        <v>5565</v>
      </c>
      <c r="AN12" s="2">
        <v>650</v>
      </c>
      <c r="AP12" s="19">
        <v>0.7</v>
      </c>
      <c r="AQ12" s="19">
        <v>7.9999999500000172</v>
      </c>
      <c r="AR12" s="19">
        <v>3.8136968435971101</v>
      </c>
      <c r="AS12" s="19">
        <v>0</v>
      </c>
    </row>
    <row r="13" spans="2:45" x14ac:dyDescent="0.25">
      <c r="B13" s="34" t="s">
        <v>16</v>
      </c>
      <c r="C13" s="37">
        <v>1.6</v>
      </c>
      <c r="D13" s="37">
        <f t="shared" si="0"/>
        <v>8</v>
      </c>
      <c r="E13" s="37">
        <f t="shared" si="17"/>
        <v>12.472550642303634</v>
      </c>
      <c r="F13" s="37">
        <f t="shared" si="1"/>
        <v>823.18834239203989</v>
      </c>
      <c r="G13" s="24">
        <f t="shared" si="13"/>
        <v>375</v>
      </c>
      <c r="H13" s="25">
        <f t="shared" si="18"/>
        <v>2</v>
      </c>
      <c r="I13" s="43">
        <f t="shared" si="2"/>
        <v>1500</v>
      </c>
      <c r="J13" s="37">
        <f t="shared" si="19"/>
        <v>120.26409377023427</v>
      </c>
      <c r="K13" s="24">
        <f t="shared" si="3"/>
        <v>375</v>
      </c>
      <c r="L13" s="37">
        <f t="shared" si="4"/>
        <v>298.79222826135992</v>
      </c>
      <c r="M13" s="24">
        <f t="shared" si="5"/>
        <v>448.18834239203989</v>
      </c>
      <c r="N13" s="24">
        <f t="shared" si="20"/>
        <v>823.18834239203989</v>
      </c>
      <c r="O13" s="46">
        <v>0.5</v>
      </c>
      <c r="P13" s="37">
        <f t="shared" si="6"/>
        <v>109.65189650126432</v>
      </c>
      <c r="Q13" s="37">
        <f t="shared" si="7"/>
        <v>104.43037762025173</v>
      </c>
      <c r="R13" s="40">
        <f t="shared" si="21"/>
        <v>143.2188035934881</v>
      </c>
      <c r="S13" s="40">
        <f t="shared" si="22"/>
        <v>121.73598305446488</v>
      </c>
      <c r="T13" s="31"/>
      <c r="U13" s="3"/>
      <c r="V13" s="2" t="s">
        <v>78</v>
      </c>
      <c r="X13" s="2">
        <v>0.98</v>
      </c>
      <c r="AJ13" s="12"/>
      <c r="AP13" s="19">
        <v>0.8</v>
      </c>
      <c r="AQ13" s="19">
        <v>7.9999999500000456</v>
      </c>
      <c r="AR13" s="19">
        <v>54.791839869687934</v>
      </c>
      <c r="AS13" s="19">
        <v>34.440585060946702</v>
      </c>
    </row>
    <row r="14" spans="2:45" x14ac:dyDescent="0.25">
      <c r="B14" s="34" t="s">
        <v>17</v>
      </c>
      <c r="C14" s="37">
        <v>1.6</v>
      </c>
      <c r="D14" s="37">
        <f t="shared" si="0"/>
        <v>8</v>
      </c>
      <c r="E14" s="37">
        <f t="shared" si="17"/>
        <v>12.472550642303634</v>
      </c>
      <c r="F14" s="37">
        <f t="shared" si="1"/>
        <v>823.18834239203989</v>
      </c>
      <c r="G14" s="24">
        <f t="shared" si="13"/>
        <v>375</v>
      </c>
      <c r="H14" s="25">
        <f t="shared" si="18"/>
        <v>2</v>
      </c>
      <c r="I14" s="43">
        <f t="shared" si="2"/>
        <v>1500</v>
      </c>
      <c r="J14" s="37">
        <f t="shared" si="19"/>
        <v>120.26409377023427</v>
      </c>
      <c r="K14" s="24">
        <f t="shared" si="3"/>
        <v>375</v>
      </c>
      <c r="L14" s="37">
        <f t="shared" si="4"/>
        <v>298.79222826135992</v>
      </c>
      <c r="M14" s="24">
        <f t="shared" si="5"/>
        <v>448.18834239203989</v>
      </c>
      <c r="N14" s="24">
        <f t="shared" si="20"/>
        <v>823.18834239203989</v>
      </c>
      <c r="O14" s="46">
        <v>0.75</v>
      </c>
      <c r="P14" s="37">
        <f t="shared" si="6"/>
        <v>164.47784475189647</v>
      </c>
      <c r="Q14" s="37">
        <f t="shared" si="7"/>
        <v>156.64556643037761</v>
      </c>
      <c r="R14" s="40">
        <f t="shared" si="21"/>
        <v>214.82820539023214</v>
      </c>
      <c r="S14" s="40">
        <f t="shared" si="22"/>
        <v>182.60397458169732</v>
      </c>
      <c r="T14" s="31"/>
      <c r="U14" s="3"/>
      <c r="V14" s="2" t="s">
        <v>79</v>
      </c>
      <c r="AJ14" s="12"/>
      <c r="AK14" s="2" t="s">
        <v>80</v>
      </c>
      <c r="AL14" s="2" t="s">
        <v>81</v>
      </c>
      <c r="AM14" s="2" t="s">
        <v>56</v>
      </c>
      <c r="AN14" s="2" t="s">
        <v>52</v>
      </c>
      <c r="AP14" s="19">
        <v>0.9</v>
      </c>
      <c r="AQ14" s="19">
        <v>7.9999999500000456</v>
      </c>
      <c r="AR14" s="19">
        <v>69.388727893805566</v>
      </c>
      <c r="AS14" s="19">
        <v>49.067743296333937</v>
      </c>
    </row>
    <row r="15" spans="2:45" x14ac:dyDescent="0.25">
      <c r="B15" s="35" t="s">
        <v>102</v>
      </c>
      <c r="C15" s="38">
        <v>1.6</v>
      </c>
      <c r="D15" s="38">
        <f t="shared" si="0"/>
        <v>8</v>
      </c>
      <c r="E15" s="38">
        <f t="shared" si="17"/>
        <v>12.472550642303634</v>
      </c>
      <c r="F15" s="38">
        <f t="shared" si="1"/>
        <v>823.18834239203989</v>
      </c>
      <c r="G15" s="28">
        <f t="shared" si="13"/>
        <v>375</v>
      </c>
      <c r="H15" s="29">
        <f t="shared" si="18"/>
        <v>2</v>
      </c>
      <c r="I15" s="44">
        <f t="shared" si="2"/>
        <v>1500</v>
      </c>
      <c r="J15" s="38">
        <f t="shared" si="19"/>
        <v>120.26409377023427</v>
      </c>
      <c r="K15" s="28">
        <f t="shared" si="3"/>
        <v>375</v>
      </c>
      <c r="L15" s="38">
        <f t="shared" si="4"/>
        <v>298.79222826135992</v>
      </c>
      <c r="M15" s="28">
        <f t="shared" si="5"/>
        <v>448.18834239203989</v>
      </c>
      <c r="N15" s="28">
        <f t="shared" si="20"/>
        <v>823.18834239203989</v>
      </c>
      <c r="O15" s="47">
        <v>1</v>
      </c>
      <c r="P15" s="38">
        <f t="shared" si="6"/>
        <v>219.30379300252864</v>
      </c>
      <c r="Q15" s="38">
        <f t="shared" si="7"/>
        <v>208.86075524050347</v>
      </c>
      <c r="R15" s="41">
        <f t="shared" si="21"/>
        <v>286.43760718697621</v>
      </c>
      <c r="S15" s="41">
        <f t="shared" si="22"/>
        <v>243.47196610892976</v>
      </c>
      <c r="T15" s="32"/>
      <c r="U15" s="3"/>
      <c r="V15" s="2" t="s">
        <v>82</v>
      </c>
      <c r="AJ15" s="12" t="s">
        <v>83</v>
      </c>
      <c r="AK15" s="2">
        <v>16</v>
      </c>
      <c r="AL15" s="4">
        <f>AM15*2.1/4</f>
        <v>53.550000000000004</v>
      </c>
      <c r="AM15" s="4">
        <v>102</v>
      </c>
      <c r="AN15" s="2">
        <v>13.5</v>
      </c>
      <c r="AP15" s="19">
        <v>1</v>
      </c>
      <c r="AQ15" s="19">
        <v>7.9999999500000456</v>
      </c>
      <c r="AR15" s="19">
        <v>85.630090159604137</v>
      </c>
      <c r="AS15" s="19">
        <v>67.280785125403256</v>
      </c>
    </row>
    <row r="16" spans="2:45" x14ac:dyDescent="0.25">
      <c r="B16" s="33" t="s">
        <v>103</v>
      </c>
      <c r="C16" s="36">
        <v>1.8</v>
      </c>
      <c r="D16" s="36">
        <v>8</v>
      </c>
      <c r="E16" s="36">
        <f t="shared" si="17"/>
        <v>14.031619472591588</v>
      </c>
      <c r="F16" s="36">
        <f t="shared" si="1"/>
        <v>926.08688519104476</v>
      </c>
      <c r="G16" s="21">
        <f t="shared" si="13"/>
        <v>375</v>
      </c>
      <c r="H16" s="22">
        <f t="shared" si="18"/>
        <v>2</v>
      </c>
      <c r="I16" s="42">
        <f t="shared" si="2"/>
        <v>1500</v>
      </c>
      <c r="J16" s="36">
        <f t="shared" si="19"/>
        <v>106.90141668465269</v>
      </c>
      <c r="K16" s="21">
        <f t="shared" si="3"/>
        <v>375</v>
      </c>
      <c r="L16" s="36">
        <f t="shared" si="4"/>
        <v>367.39125679402986</v>
      </c>
      <c r="M16" s="21">
        <f t="shared" si="5"/>
        <v>551.08688519104476</v>
      </c>
      <c r="N16" s="21">
        <f t="shared" si="20"/>
        <v>926.08688519104476</v>
      </c>
      <c r="O16" s="45">
        <v>0.25</v>
      </c>
      <c r="P16" s="36">
        <f>O16*286.2</f>
        <v>71.55</v>
      </c>
      <c r="Q16" s="36">
        <f t="shared" si="7"/>
        <v>68.142857142857139</v>
      </c>
      <c r="R16" s="39">
        <f t="shared" si="21"/>
        <v>105.134693877551</v>
      </c>
      <c r="S16" s="39">
        <f t="shared" si="22"/>
        <v>89.364489795918345</v>
      </c>
      <c r="T16" s="30"/>
      <c r="U16" s="3"/>
      <c r="V16" s="2" t="s">
        <v>84</v>
      </c>
      <c r="AJ16" s="12" t="s">
        <v>83</v>
      </c>
      <c r="AK16" s="2">
        <v>22</v>
      </c>
      <c r="AL16" s="4">
        <f t="shared" ref="AL16:AL18" si="23">AM16*2.1/4</f>
        <v>73.5</v>
      </c>
      <c r="AM16" s="4">
        <v>140</v>
      </c>
      <c r="AN16" s="2">
        <v>13.5</v>
      </c>
      <c r="AP16" s="19">
        <v>1.1000000000000001</v>
      </c>
      <c r="AQ16" s="19">
        <v>7.999999950000074</v>
      </c>
      <c r="AR16" s="19">
        <v>103.64273646954815</v>
      </c>
      <c r="AS16" s="19">
        <v>89.57693652010947</v>
      </c>
    </row>
    <row r="17" spans="2:45" x14ac:dyDescent="0.25">
      <c r="B17" s="34" t="s">
        <v>104</v>
      </c>
      <c r="C17" s="37">
        <v>1.8</v>
      </c>
      <c r="D17" s="37">
        <v>8</v>
      </c>
      <c r="E17" s="37">
        <f t="shared" si="17"/>
        <v>14.031619472591588</v>
      </c>
      <c r="F17" s="37">
        <f t="shared" si="1"/>
        <v>926.08688519104476</v>
      </c>
      <c r="G17" s="24">
        <f t="shared" si="13"/>
        <v>375</v>
      </c>
      <c r="H17" s="25">
        <f t="shared" si="18"/>
        <v>2</v>
      </c>
      <c r="I17" s="43">
        <f t="shared" si="2"/>
        <v>1500</v>
      </c>
      <c r="J17" s="37">
        <f t="shared" si="19"/>
        <v>106.90141668465269</v>
      </c>
      <c r="K17" s="24">
        <f t="shared" si="3"/>
        <v>375</v>
      </c>
      <c r="L17" s="37">
        <f t="shared" si="4"/>
        <v>367.39125679402986</v>
      </c>
      <c r="M17" s="24">
        <f t="shared" si="5"/>
        <v>551.08688519104476</v>
      </c>
      <c r="N17" s="24">
        <f t="shared" si="20"/>
        <v>926.08688519104476</v>
      </c>
      <c r="O17" s="46">
        <v>0.5</v>
      </c>
      <c r="P17" s="37">
        <f t="shared" ref="P17:P19" si="24">O17*286.2</f>
        <v>143.1</v>
      </c>
      <c r="Q17" s="37">
        <f t="shared" si="7"/>
        <v>136.28571428571428</v>
      </c>
      <c r="R17" s="40">
        <f t="shared" si="21"/>
        <v>210.269387755102</v>
      </c>
      <c r="S17" s="40">
        <f t="shared" si="22"/>
        <v>178.72897959183669</v>
      </c>
      <c r="T17" s="31"/>
      <c r="U17" s="3"/>
      <c r="AJ17" s="12" t="s">
        <v>83</v>
      </c>
      <c r="AK17" s="2">
        <v>28</v>
      </c>
      <c r="AL17" s="4">
        <f t="shared" si="23"/>
        <v>93.45</v>
      </c>
      <c r="AM17" s="4">
        <v>178</v>
      </c>
      <c r="AN17" s="2">
        <v>13.5</v>
      </c>
      <c r="AP17" s="19">
        <v>1.2</v>
      </c>
      <c r="AQ17" s="19">
        <v>7.9999999500000172</v>
      </c>
      <c r="AR17" s="19">
        <v>123.32835227016525</v>
      </c>
      <c r="AS17" s="19">
        <v>116.28101785472722</v>
      </c>
    </row>
    <row r="18" spans="2:45" x14ac:dyDescent="0.25">
      <c r="B18" s="34" t="s">
        <v>103</v>
      </c>
      <c r="C18" s="37">
        <v>1.8</v>
      </c>
      <c r="D18" s="37">
        <v>8</v>
      </c>
      <c r="E18" s="37">
        <f t="shared" si="9"/>
        <v>14.031619472591588</v>
      </c>
      <c r="F18" s="37">
        <f t="shared" si="1"/>
        <v>926.08688519104476</v>
      </c>
      <c r="G18" s="24">
        <f t="shared" si="13"/>
        <v>375</v>
      </c>
      <c r="H18" s="25">
        <f t="shared" si="14"/>
        <v>2</v>
      </c>
      <c r="I18" s="43">
        <f t="shared" si="2"/>
        <v>1500</v>
      </c>
      <c r="J18" s="37">
        <f t="shared" si="15"/>
        <v>106.90141668465269</v>
      </c>
      <c r="K18" s="24">
        <f t="shared" si="3"/>
        <v>375</v>
      </c>
      <c r="L18" s="37">
        <f t="shared" si="4"/>
        <v>367.39125679402986</v>
      </c>
      <c r="M18" s="24">
        <f t="shared" si="5"/>
        <v>551.08688519104476</v>
      </c>
      <c r="N18" s="24">
        <f t="shared" si="16"/>
        <v>926.08688519104476</v>
      </c>
      <c r="O18" s="46">
        <v>0.75</v>
      </c>
      <c r="P18" s="37">
        <f t="shared" si="24"/>
        <v>214.64999999999998</v>
      </c>
      <c r="Q18" s="37">
        <f t="shared" si="7"/>
        <v>204.42857142857139</v>
      </c>
      <c r="R18" s="40">
        <f t="shared" si="10"/>
        <v>315.404081632653</v>
      </c>
      <c r="S18" s="40">
        <f t="shared" si="11"/>
        <v>268.09346938775502</v>
      </c>
      <c r="T18" s="31"/>
      <c r="U18" s="3"/>
      <c r="AJ18" s="12" t="s">
        <v>83</v>
      </c>
      <c r="AK18" s="2">
        <v>40</v>
      </c>
      <c r="AL18" s="4">
        <f t="shared" si="23"/>
        <v>133.35</v>
      </c>
      <c r="AM18" s="4">
        <v>254</v>
      </c>
      <c r="AN18" s="2">
        <v>16.5</v>
      </c>
      <c r="AP18" s="19">
        <v>1.3</v>
      </c>
      <c r="AQ18" s="19">
        <v>7.9999999500000456</v>
      </c>
      <c r="AR18" s="19">
        <v>144.75755959012375</v>
      </c>
      <c r="AS18" s="19">
        <v>147.8595072956264</v>
      </c>
    </row>
    <row r="19" spans="2:45" x14ac:dyDescent="0.25">
      <c r="B19" s="35" t="s">
        <v>104</v>
      </c>
      <c r="C19" s="38">
        <v>1.8</v>
      </c>
      <c r="D19" s="38">
        <v>8</v>
      </c>
      <c r="E19" s="38">
        <f t="shared" si="9"/>
        <v>14.031619472591588</v>
      </c>
      <c r="F19" s="38">
        <f t="shared" si="1"/>
        <v>926.08688519104476</v>
      </c>
      <c r="G19" s="28">
        <f t="shared" si="13"/>
        <v>375</v>
      </c>
      <c r="H19" s="29">
        <f t="shared" si="14"/>
        <v>2</v>
      </c>
      <c r="I19" s="44">
        <f t="shared" si="2"/>
        <v>1500</v>
      </c>
      <c r="J19" s="38">
        <f t="shared" si="15"/>
        <v>106.90141668465269</v>
      </c>
      <c r="K19" s="28">
        <f t="shared" si="3"/>
        <v>375</v>
      </c>
      <c r="L19" s="38">
        <f t="shared" si="4"/>
        <v>367.39125679402986</v>
      </c>
      <c r="M19" s="28">
        <f t="shared" si="5"/>
        <v>551.08688519104476</v>
      </c>
      <c r="N19" s="28">
        <f t="shared" si="16"/>
        <v>926.08688519104476</v>
      </c>
      <c r="O19" s="47">
        <v>1</v>
      </c>
      <c r="P19" s="38">
        <f t="shared" si="24"/>
        <v>286.2</v>
      </c>
      <c r="Q19" s="38">
        <f t="shared" si="7"/>
        <v>272.57142857142856</v>
      </c>
      <c r="R19" s="41">
        <f t="shared" si="10"/>
        <v>420.538775510204</v>
      </c>
      <c r="S19" s="41">
        <f t="shared" si="11"/>
        <v>357.45795918367338</v>
      </c>
      <c r="T19" s="32" t="s">
        <v>157</v>
      </c>
      <c r="U19" s="3"/>
      <c r="AJ19" s="12" t="s">
        <v>83</v>
      </c>
      <c r="AK19" s="2">
        <v>71</v>
      </c>
      <c r="AL19" s="4">
        <f>AM19*2.1/3.5</f>
        <v>237</v>
      </c>
      <c r="AM19" s="4">
        <v>395</v>
      </c>
      <c r="AN19" s="2">
        <v>34</v>
      </c>
      <c r="AP19" s="19">
        <v>1.4</v>
      </c>
      <c r="AQ19" s="19">
        <v>7.9999999500000172</v>
      </c>
      <c r="AR19" s="19">
        <v>167.88751310761407</v>
      </c>
      <c r="AS19" s="19">
        <v>184.67626441837547</v>
      </c>
    </row>
    <row r="20" spans="2:45" x14ac:dyDescent="0.25">
      <c r="B20" s="6"/>
      <c r="C20" s="10"/>
      <c r="T20" s="2"/>
      <c r="U20" s="3"/>
      <c r="AJ20" s="12" t="s">
        <v>83</v>
      </c>
      <c r="AK20" s="2">
        <v>125</v>
      </c>
      <c r="AL20" s="4">
        <f t="shared" ref="AL20:AL25" si="25">AM20*2.1/3.5</f>
        <v>417.6</v>
      </c>
      <c r="AM20" s="4">
        <v>696</v>
      </c>
      <c r="AN20" s="2">
        <v>61</v>
      </c>
      <c r="AP20" s="19">
        <v>1.5</v>
      </c>
      <c r="AQ20" s="19">
        <v>7.999999950000074</v>
      </c>
      <c r="AR20" s="19">
        <v>192.7212001076108</v>
      </c>
      <c r="AS20" s="19">
        <v>227.13570012682698</v>
      </c>
    </row>
    <row r="21" spans="2:45" x14ac:dyDescent="0.25">
      <c r="B21" t="s">
        <v>6</v>
      </c>
      <c r="U21" s="3"/>
      <c r="AJ21" s="12" t="s">
        <v>83</v>
      </c>
      <c r="AK21" s="2">
        <v>250</v>
      </c>
      <c r="AL21" s="4">
        <f t="shared" si="25"/>
        <v>834.6</v>
      </c>
      <c r="AM21" s="4">
        <v>1391</v>
      </c>
      <c r="AN21" s="2">
        <v>120</v>
      </c>
      <c r="AP21" s="19">
        <v>1.6</v>
      </c>
      <c r="AQ21" s="19">
        <v>8</v>
      </c>
      <c r="AR21" s="19">
        <v>219.30379300252864</v>
      </c>
      <c r="AS21" s="19">
        <v>275.69619691746459</v>
      </c>
    </row>
    <row r="22" spans="2:45" ht="60" x14ac:dyDescent="0.25">
      <c r="B22" s="1" t="s">
        <v>29</v>
      </c>
      <c r="C22" s="9" t="s">
        <v>28</v>
      </c>
      <c r="D22" s="9" t="s">
        <v>101</v>
      </c>
      <c r="E22" s="9" t="s">
        <v>86</v>
      </c>
      <c r="F22" s="9" t="s">
        <v>85</v>
      </c>
      <c r="G22" s="9" t="s">
        <v>87</v>
      </c>
      <c r="H22" s="9" t="s">
        <v>41</v>
      </c>
      <c r="I22" s="9" t="s">
        <v>89</v>
      </c>
      <c r="J22" s="9" t="s">
        <v>90</v>
      </c>
      <c r="K22" s="9" t="s">
        <v>43</v>
      </c>
      <c r="L22" s="9" t="s">
        <v>96</v>
      </c>
      <c r="M22" s="9" t="s">
        <v>44</v>
      </c>
      <c r="N22" s="9" t="s">
        <v>45</v>
      </c>
      <c r="O22" s="9" t="s">
        <v>105</v>
      </c>
      <c r="P22" s="9" t="s">
        <v>95</v>
      </c>
      <c r="Q22" s="9" t="s">
        <v>98</v>
      </c>
      <c r="R22" s="9" t="s">
        <v>99</v>
      </c>
      <c r="S22" s="9" t="s">
        <v>100</v>
      </c>
      <c r="T22" s="9" t="s">
        <v>133</v>
      </c>
      <c r="U22" s="3"/>
      <c r="AJ22" s="12"/>
      <c r="AK22" s="2">
        <v>355</v>
      </c>
      <c r="AL22" s="2">
        <v>564</v>
      </c>
      <c r="AM22" s="2">
        <f t="shared" ref="AM22" si="26">AL22*3.5</f>
        <v>1974</v>
      </c>
      <c r="AN22" s="2">
        <v>207</v>
      </c>
      <c r="AP22" s="19">
        <v>1.7</v>
      </c>
      <c r="AQ22" s="19">
        <v>4.9000000000000004</v>
      </c>
      <c r="AR22" s="19">
        <v>323.66454089875339</v>
      </c>
      <c r="AS22" s="19">
        <v>275.11485976394039</v>
      </c>
    </row>
    <row r="23" spans="2:45" x14ac:dyDescent="0.25">
      <c r="B23" s="54" t="s">
        <v>18</v>
      </c>
      <c r="C23" s="18">
        <v>0.85</v>
      </c>
      <c r="D23" s="19">
        <f t="shared" ref="D23:D29" si="27">LOOKUP($C23,$AP$5:$AP$30,$AQ$5:$AQ$30)</f>
        <v>7.9999999500000456</v>
      </c>
      <c r="E23" s="19">
        <f t="shared" ref="E23:E29" si="28">((C23*D23)/($X$10/2))*(60/(2*PI()))</f>
        <v>6.6260424873110786</v>
      </c>
      <c r="F23" s="19">
        <f t="shared" ref="F23:F30" si="29">E23*($X$4*$Y$4)/1000-$X$16</f>
        <v>437.31880416253114</v>
      </c>
      <c r="G23" s="18">
        <f t="shared" ref="G23:G27" si="30">($X$5*$Y$5)*$X$8/1000</f>
        <v>375</v>
      </c>
      <c r="H23" s="5">
        <f t="shared" ref="H23:H27" si="31">IF(G23&gt;=F23,1, 2)</f>
        <v>2</v>
      </c>
      <c r="I23" s="50">
        <f t="shared" ref="I23:I30" si="32">IF(H23=1,(F23*1000)/($Y$5*$X$5),$X$8)</f>
        <v>1500</v>
      </c>
      <c r="J23" s="19">
        <f t="shared" ref="J23:J30" si="33">I23/E23</f>
        <v>226.37947204119371</v>
      </c>
      <c r="K23" s="18">
        <f t="shared" ref="K23:K30" si="34">(I23*$X$5/1000-$X$16)*$Y$5</f>
        <v>375</v>
      </c>
      <c r="L23" s="19">
        <f t="shared" ref="L23:L26" si="35">(((F23-K23)+$X$15)*1000/$I$4)/$Y$6</f>
        <v>41.545869441687422</v>
      </c>
      <c r="M23" s="18">
        <f t="shared" ref="M23:M30" si="36">$Y$6*I23*L23/1000</f>
        <v>62.31880416253113</v>
      </c>
      <c r="N23" s="18">
        <f t="shared" ref="N23:N26" si="37">SUM(K23,M23)</f>
        <v>437.31880416253114</v>
      </c>
      <c r="O23" s="51">
        <v>1</v>
      </c>
      <c r="P23" s="19">
        <f t="shared" ref="P23:P30" si="38">O23*LOOKUP($C23,$AP$5:$AP$30,$AR$5:$AR$30)</f>
        <v>54.791839869687934</v>
      </c>
      <c r="Q23" s="19">
        <f t="shared" ref="Q23:Q30" si="39">P23*1000/$X$12</f>
        <v>52.182704637798032</v>
      </c>
      <c r="R23" s="18">
        <f t="shared" ref="R23:R30" si="40">P23*(2*PI()*E23/60)</f>
        <v>38.018827427063968</v>
      </c>
      <c r="S23" s="18">
        <f t="shared" ref="S23:S30" si="41">R23*0.85</f>
        <v>32.316003313004373</v>
      </c>
      <c r="T23" s="16" t="s">
        <v>113</v>
      </c>
      <c r="U23" s="3"/>
      <c r="AJ23" s="12" t="s">
        <v>83</v>
      </c>
      <c r="AK23" s="2">
        <v>500</v>
      </c>
      <c r="AL23" s="4">
        <f t="shared" si="25"/>
        <v>1669.8</v>
      </c>
      <c r="AM23" s="4">
        <v>2783</v>
      </c>
      <c r="AN23" s="2">
        <v>220</v>
      </c>
      <c r="AP23" s="19">
        <v>1.8</v>
      </c>
      <c r="AQ23" s="19">
        <v>4.2699999999999996</v>
      </c>
      <c r="AR23" s="19">
        <v>350.38337853664359</v>
      </c>
      <c r="AS23" s="19">
        <v>274.8006783094533</v>
      </c>
    </row>
    <row r="24" spans="2:45" x14ac:dyDescent="0.25">
      <c r="B24" s="54" t="s">
        <v>19</v>
      </c>
      <c r="C24" s="18">
        <v>0.85</v>
      </c>
      <c r="D24" s="19">
        <f t="shared" si="27"/>
        <v>7.9999999500000456</v>
      </c>
      <c r="E24" s="19">
        <f t="shared" si="28"/>
        <v>6.6260424873110786</v>
      </c>
      <c r="F24" s="19">
        <f t="shared" si="29"/>
        <v>437.31880416253114</v>
      </c>
      <c r="G24" s="18">
        <f t="shared" si="30"/>
        <v>375</v>
      </c>
      <c r="H24" s="5">
        <f t="shared" si="31"/>
        <v>2</v>
      </c>
      <c r="I24" s="50">
        <f t="shared" si="32"/>
        <v>1500</v>
      </c>
      <c r="J24" s="19">
        <f t="shared" si="33"/>
        <v>226.37947204119371</v>
      </c>
      <c r="K24" s="18">
        <f t="shared" si="34"/>
        <v>375</v>
      </c>
      <c r="L24" s="19">
        <f t="shared" si="35"/>
        <v>41.545869441687422</v>
      </c>
      <c r="M24" s="18">
        <f t="shared" si="36"/>
        <v>62.31880416253113</v>
      </c>
      <c r="N24" s="18">
        <f t="shared" si="37"/>
        <v>437.31880416253114</v>
      </c>
      <c r="O24" s="51">
        <v>1</v>
      </c>
      <c r="P24" s="19">
        <f t="shared" si="38"/>
        <v>54.791839869687934</v>
      </c>
      <c r="Q24" s="19">
        <f t="shared" si="39"/>
        <v>52.182704637798032</v>
      </c>
      <c r="R24" s="18">
        <f t="shared" si="40"/>
        <v>38.018827427063968</v>
      </c>
      <c r="S24" s="18">
        <f t="shared" si="41"/>
        <v>32.316003313004373</v>
      </c>
      <c r="T24" s="16" t="s">
        <v>119</v>
      </c>
      <c r="U24" s="3"/>
      <c r="AJ24" s="12"/>
      <c r="AK24" s="13">
        <v>750</v>
      </c>
      <c r="AL24" s="14">
        <f t="shared" si="25"/>
        <v>2505.3000000000002</v>
      </c>
      <c r="AM24" s="14">
        <f>AM11</f>
        <v>4175.5</v>
      </c>
      <c r="AN24" s="14">
        <f>AN23*(AN11/AN10)</f>
        <v>316.25</v>
      </c>
      <c r="AP24" s="19">
        <v>1.9</v>
      </c>
      <c r="AQ24" s="19">
        <v>3.92</v>
      </c>
      <c r="AR24" s="19">
        <v>362.87461260626947</v>
      </c>
      <c r="AS24" s="19">
        <v>275.78470558076469</v>
      </c>
    </row>
    <row r="25" spans="2:45" x14ac:dyDescent="0.25">
      <c r="B25" s="54" t="s">
        <v>20</v>
      </c>
      <c r="C25" s="19">
        <v>1.8</v>
      </c>
      <c r="D25" s="19">
        <f t="shared" si="27"/>
        <v>4.2699999999999996</v>
      </c>
      <c r="E25" s="19">
        <f t="shared" si="28"/>
        <v>7.4893768934957601</v>
      </c>
      <c r="F25" s="19">
        <f t="shared" si="29"/>
        <v>494.29887497072014</v>
      </c>
      <c r="G25" s="18">
        <f t="shared" si="30"/>
        <v>375</v>
      </c>
      <c r="H25" s="5">
        <f t="shared" si="31"/>
        <v>2</v>
      </c>
      <c r="I25" s="50">
        <f t="shared" si="32"/>
        <v>1500</v>
      </c>
      <c r="J25" s="19">
        <f t="shared" si="33"/>
        <v>200.283684655087</v>
      </c>
      <c r="K25" s="18">
        <f t="shared" si="34"/>
        <v>375</v>
      </c>
      <c r="L25" s="19">
        <f t="shared" si="35"/>
        <v>79.532583313813419</v>
      </c>
      <c r="M25" s="18">
        <f t="shared" si="36"/>
        <v>119.29887497072014</v>
      </c>
      <c r="N25" s="18">
        <f t="shared" si="37"/>
        <v>494.29887497072014</v>
      </c>
      <c r="O25" s="51">
        <v>1</v>
      </c>
      <c r="P25" s="19">
        <f t="shared" si="38"/>
        <v>350.38337853664359</v>
      </c>
      <c r="Q25" s="19">
        <f t="shared" si="39"/>
        <v>333.69845574918435</v>
      </c>
      <c r="R25" s="18">
        <f t="shared" si="40"/>
        <v>274.8006783094533</v>
      </c>
      <c r="S25" s="18">
        <f t="shared" si="41"/>
        <v>233.58057656303529</v>
      </c>
      <c r="T25" s="55" t="s">
        <v>114</v>
      </c>
      <c r="U25" s="3"/>
      <c r="AJ25" s="12"/>
      <c r="AK25" s="13">
        <v>1000</v>
      </c>
      <c r="AL25" s="14">
        <f t="shared" si="25"/>
        <v>3339</v>
      </c>
      <c r="AM25" s="14">
        <f>AM12</f>
        <v>5565</v>
      </c>
      <c r="AN25" s="14">
        <f>AN23*(AN12/AN10)</f>
        <v>446.875</v>
      </c>
      <c r="AP25" s="19">
        <v>2</v>
      </c>
      <c r="AQ25" s="19">
        <v>3.66</v>
      </c>
      <c r="AR25" s="19">
        <v>367.78541758642524</v>
      </c>
      <c r="AS25" s="19">
        <v>274.71318946251353</v>
      </c>
    </row>
    <row r="26" spans="2:45" x14ac:dyDescent="0.25">
      <c r="B26" s="54" t="s">
        <v>21</v>
      </c>
      <c r="C26" s="19">
        <v>1.6</v>
      </c>
      <c r="D26" s="19">
        <f t="shared" si="27"/>
        <v>8</v>
      </c>
      <c r="E26" s="19">
        <f t="shared" si="28"/>
        <v>12.472550642303634</v>
      </c>
      <c r="F26" s="19">
        <f t="shared" si="29"/>
        <v>823.18834239203989</v>
      </c>
      <c r="G26" s="18">
        <f t="shared" si="30"/>
        <v>375</v>
      </c>
      <c r="H26" s="5">
        <f t="shared" si="31"/>
        <v>2</v>
      </c>
      <c r="I26" s="50">
        <f t="shared" si="32"/>
        <v>1500</v>
      </c>
      <c r="J26" s="19">
        <f t="shared" si="33"/>
        <v>120.26409377023427</v>
      </c>
      <c r="K26" s="18">
        <f t="shared" si="34"/>
        <v>375</v>
      </c>
      <c r="L26" s="19">
        <f t="shared" si="35"/>
        <v>298.79222826135992</v>
      </c>
      <c r="M26" s="18">
        <f t="shared" si="36"/>
        <v>448.18834239203989</v>
      </c>
      <c r="N26" s="18">
        <f t="shared" si="37"/>
        <v>823.18834239203989</v>
      </c>
      <c r="O26" s="51">
        <v>1</v>
      </c>
      <c r="P26" s="19">
        <f t="shared" si="38"/>
        <v>219.30379300252864</v>
      </c>
      <c r="Q26" s="19">
        <f t="shared" si="39"/>
        <v>208.86075524050347</v>
      </c>
      <c r="R26" s="18">
        <f t="shared" si="40"/>
        <v>286.43760718697621</v>
      </c>
      <c r="S26" s="18">
        <f t="shared" si="41"/>
        <v>243.47196610892976</v>
      </c>
      <c r="T26" s="55" t="s">
        <v>130</v>
      </c>
      <c r="U26" s="3"/>
      <c r="AP26" s="19">
        <v>2.1</v>
      </c>
      <c r="AQ26" s="19">
        <v>3.44</v>
      </c>
      <c r="AR26" s="19">
        <v>371.32758988121248</v>
      </c>
      <c r="AS26" s="19">
        <v>273.72148054100802</v>
      </c>
    </row>
    <row r="27" spans="2:45" x14ac:dyDescent="0.25">
      <c r="B27" s="54" t="s">
        <v>27</v>
      </c>
      <c r="C27" s="19">
        <v>2.4</v>
      </c>
      <c r="D27" s="19">
        <f t="shared" si="27"/>
        <v>2.9449999999999998</v>
      </c>
      <c r="E27" s="19">
        <f t="shared" si="28"/>
        <v>6.8871865577970377</v>
      </c>
      <c r="F27" s="19">
        <f t="shared" si="29"/>
        <v>454.55431281460449</v>
      </c>
      <c r="G27" s="18">
        <f t="shared" si="30"/>
        <v>375</v>
      </c>
      <c r="H27" s="5">
        <f t="shared" si="31"/>
        <v>2</v>
      </c>
      <c r="I27" s="50">
        <f t="shared" si="32"/>
        <v>1500</v>
      </c>
      <c r="J27" s="19">
        <f t="shared" si="33"/>
        <v>217.79575555447067</v>
      </c>
      <c r="K27" s="18">
        <f t="shared" si="34"/>
        <v>375</v>
      </c>
      <c r="L27" s="19">
        <f t="shared" ref="L27" si="42">(((F27-K27)+$X$15)*1000/$I$4)/$Y$6</f>
        <v>53.036208543069662</v>
      </c>
      <c r="M27" s="18">
        <f t="shared" si="36"/>
        <v>79.554312814604486</v>
      </c>
      <c r="N27" s="18">
        <f t="shared" ref="N27" si="43">SUM(K27,M27)</f>
        <v>454.55431281460449</v>
      </c>
      <c r="O27" s="51">
        <v>1</v>
      </c>
      <c r="P27" s="19">
        <f t="shared" si="38"/>
        <v>380.68042893182826</v>
      </c>
      <c r="Q27" s="19">
        <f t="shared" si="39"/>
        <v>362.55278945888404</v>
      </c>
      <c r="R27" s="18">
        <f t="shared" si="40"/>
        <v>274.55604813164922</v>
      </c>
      <c r="S27" s="18">
        <f t="shared" si="41"/>
        <v>233.37264091190184</v>
      </c>
      <c r="T27" s="55" t="s">
        <v>121</v>
      </c>
      <c r="U27" s="3"/>
      <c r="AP27" s="19">
        <v>2.2000000000000002</v>
      </c>
      <c r="AQ27" s="19">
        <v>3.2549999999999999</v>
      </c>
      <c r="AR27" s="19">
        <v>375.24853374945883</v>
      </c>
      <c r="AS27" s="19">
        <v>274.19946430406884</v>
      </c>
    </row>
    <row r="28" spans="2:45" x14ac:dyDescent="0.25">
      <c r="B28" s="54" t="s">
        <v>116</v>
      </c>
      <c r="C28" s="19">
        <v>0.85</v>
      </c>
      <c r="D28" s="19">
        <f t="shared" si="27"/>
        <v>7.9999999500000456</v>
      </c>
      <c r="E28" s="19">
        <f t="shared" si="28"/>
        <v>6.6260424873110786</v>
      </c>
      <c r="F28" s="19">
        <f t="shared" si="29"/>
        <v>437.31880416253114</v>
      </c>
      <c r="G28" s="18">
        <f t="shared" ref="G28:G30" si="44">($X$5*$Y$5)*$X$8/1000</f>
        <v>375</v>
      </c>
      <c r="H28" s="5">
        <f t="shared" ref="H28:H29" si="45">IF(G28&gt;=F28,1, 2)</f>
        <v>2</v>
      </c>
      <c r="I28" s="50">
        <f t="shared" si="32"/>
        <v>1500</v>
      </c>
      <c r="J28" s="19">
        <f t="shared" si="33"/>
        <v>226.37947204119371</v>
      </c>
      <c r="K28" s="18">
        <f t="shared" si="34"/>
        <v>375</v>
      </c>
      <c r="L28" s="19">
        <f>(((F28-K28)+$X$15)*1000/$I$4)/$Y$6</f>
        <v>41.545869441687422</v>
      </c>
      <c r="M28" s="18">
        <f t="shared" si="36"/>
        <v>62.31880416253113</v>
      </c>
      <c r="N28" s="18">
        <f t="shared" ref="N28:N29" si="46">SUM(K28,M28)</f>
        <v>437.31880416253114</v>
      </c>
      <c r="O28" s="51">
        <v>1</v>
      </c>
      <c r="P28" s="19">
        <f t="shared" si="38"/>
        <v>54.791839869687934</v>
      </c>
      <c r="Q28" s="19">
        <f t="shared" si="39"/>
        <v>52.182704637798032</v>
      </c>
      <c r="R28" s="18">
        <f t="shared" si="40"/>
        <v>38.018827427063968</v>
      </c>
      <c r="S28" s="18">
        <f t="shared" si="41"/>
        <v>32.316003313004373</v>
      </c>
      <c r="T28" s="55" t="s">
        <v>115</v>
      </c>
      <c r="U28" s="3"/>
      <c r="AP28" s="19">
        <v>2.2999999999999998</v>
      </c>
      <c r="AQ28" s="19">
        <v>3.09</v>
      </c>
      <c r="AR28" s="19">
        <v>378.54407374602465</v>
      </c>
      <c r="AS28" s="19">
        <v>274.52170735846903</v>
      </c>
    </row>
    <row r="29" spans="2:45" x14ac:dyDescent="0.25">
      <c r="B29" s="54" t="s">
        <v>120</v>
      </c>
      <c r="C29" s="19">
        <v>1.8</v>
      </c>
      <c r="D29" s="19">
        <f t="shared" si="27"/>
        <v>4.2699999999999996</v>
      </c>
      <c r="E29" s="19">
        <f t="shared" si="28"/>
        <v>7.4893768934957601</v>
      </c>
      <c r="F29" s="19">
        <f t="shared" si="29"/>
        <v>494.29887497072014</v>
      </c>
      <c r="G29" s="18">
        <f t="shared" si="44"/>
        <v>375</v>
      </c>
      <c r="H29" s="5">
        <f t="shared" si="45"/>
        <v>2</v>
      </c>
      <c r="I29" s="50">
        <f t="shared" si="32"/>
        <v>1500</v>
      </c>
      <c r="J29" s="19">
        <f t="shared" si="33"/>
        <v>200.283684655087</v>
      </c>
      <c r="K29" s="18">
        <f t="shared" si="34"/>
        <v>375</v>
      </c>
      <c r="L29" s="19">
        <f>(((F29-K29)+$X$15)*1000/$I$4)/$Y$6</f>
        <v>79.532583313813419</v>
      </c>
      <c r="M29" s="18">
        <f t="shared" si="36"/>
        <v>119.29887497072014</v>
      </c>
      <c r="N29" s="18">
        <f t="shared" si="46"/>
        <v>494.29887497072014</v>
      </c>
      <c r="O29" s="51">
        <v>1</v>
      </c>
      <c r="P29" s="19">
        <f t="shared" si="38"/>
        <v>350.38337853664359</v>
      </c>
      <c r="Q29" s="19">
        <f t="shared" si="39"/>
        <v>333.69845574918435</v>
      </c>
      <c r="R29" s="18">
        <f t="shared" si="40"/>
        <v>274.8006783094533</v>
      </c>
      <c r="S29" s="18">
        <f t="shared" si="41"/>
        <v>233.58057656303529</v>
      </c>
      <c r="T29" s="55" t="s">
        <v>122</v>
      </c>
      <c r="U29" s="3"/>
      <c r="AP29" s="19">
        <v>2.4</v>
      </c>
      <c r="AQ29" s="19">
        <v>2.9449999999999998</v>
      </c>
      <c r="AR29" s="19">
        <v>380.68042893182826</v>
      </c>
      <c r="AS29" s="19">
        <v>274.55604813164922</v>
      </c>
    </row>
    <row r="30" spans="2:45" x14ac:dyDescent="0.25">
      <c r="B30" s="54" t="s">
        <v>131</v>
      </c>
      <c r="C30" s="19">
        <v>1.6</v>
      </c>
      <c r="D30" s="19">
        <v>0.42</v>
      </c>
      <c r="E30" s="19">
        <f>((C30*D30)/($X$10/2))*(60/(2*PI()))</f>
        <v>0.65480890872094089</v>
      </c>
      <c r="F30" s="19">
        <f t="shared" si="29"/>
        <v>43.217387975582099</v>
      </c>
      <c r="G30" s="18">
        <f t="shared" si="44"/>
        <v>375</v>
      </c>
      <c r="H30" s="5">
        <f t="shared" ref="H30" si="47">IF(G30&gt;=F30,1, 2)</f>
        <v>1</v>
      </c>
      <c r="I30" s="50">
        <f t="shared" si="32"/>
        <v>172.8695519023284</v>
      </c>
      <c r="J30" s="19">
        <f t="shared" si="33"/>
        <v>264</v>
      </c>
      <c r="K30" s="18">
        <f t="shared" si="34"/>
        <v>43.217387975582099</v>
      </c>
      <c r="L30" s="19">
        <f>(((F30-K30)+$X$15)*1000/$I$4)/$Y$6</f>
        <v>0</v>
      </c>
      <c r="M30" s="18">
        <f t="shared" si="36"/>
        <v>0</v>
      </c>
      <c r="N30" s="18">
        <f t="shared" ref="N30" si="48">SUM(K30,M30)</f>
        <v>43.217387975582099</v>
      </c>
      <c r="O30" s="51">
        <v>1</v>
      </c>
      <c r="P30" s="19">
        <f t="shared" si="38"/>
        <v>219.30379300252864</v>
      </c>
      <c r="Q30" s="19">
        <f t="shared" si="39"/>
        <v>208.86075524050347</v>
      </c>
      <c r="R30" s="18">
        <f t="shared" si="40"/>
        <v>15.03797437731625</v>
      </c>
      <c r="S30" s="18">
        <f t="shared" si="41"/>
        <v>12.782278220718812</v>
      </c>
      <c r="T30" s="55" t="s">
        <v>132</v>
      </c>
      <c r="U30" s="3"/>
      <c r="AP30" s="19">
        <v>2.5</v>
      </c>
      <c r="AQ30" s="19">
        <v>2.561668913857678</v>
      </c>
      <c r="AR30" s="19">
        <v>445.27408360798876</v>
      </c>
      <c r="AS30" s="19"/>
    </row>
    <row r="31" spans="2:45" x14ac:dyDescent="0.25">
      <c r="B31" s="7"/>
      <c r="C31" s="23"/>
      <c r="D31" s="23"/>
      <c r="E31" s="23"/>
      <c r="F31" s="23"/>
      <c r="G31" s="24"/>
      <c r="H31" s="25"/>
      <c r="I31" s="26"/>
      <c r="J31" s="23"/>
      <c r="K31" s="24"/>
      <c r="L31" s="23"/>
      <c r="M31" s="24"/>
      <c r="N31" s="24"/>
      <c r="O31" s="27"/>
      <c r="P31" s="23"/>
      <c r="Q31" s="23"/>
      <c r="R31" s="24"/>
      <c r="S31" s="24"/>
      <c r="T31" s="52"/>
      <c r="U31" s="3"/>
    </row>
    <row r="32" spans="2:45" x14ac:dyDescent="0.25">
      <c r="B32" t="s">
        <v>5</v>
      </c>
      <c r="U32" s="3"/>
      <c r="AQ32" s="2" t="s">
        <v>0</v>
      </c>
    </row>
    <row r="33" spans="2:43" ht="60" x14ac:dyDescent="0.25">
      <c r="B33" s="33" t="s">
        <v>29</v>
      </c>
      <c r="C33" s="9" t="s">
        <v>28</v>
      </c>
      <c r="D33" s="9" t="s">
        <v>101</v>
      </c>
      <c r="E33" s="9" t="s">
        <v>86</v>
      </c>
      <c r="F33" s="9" t="s">
        <v>85</v>
      </c>
      <c r="G33" s="9" t="s">
        <v>87</v>
      </c>
      <c r="H33" s="9" t="s">
        <v>41</v>
      </c>
      <c r="I33" s="9" t="s">
        <v>89</v>
      </c>
      <c r="J33" s="9" t="s">
        <v>90</v>
      </c>
      <c r="K33" s="9" t="s">
        <v>43</v>
      </c>
      <c r="L33" s="9" t="s">
        <v>96</v>
      </c>
      <c r="M33" s="9" t="s">
        <v>44</v>
      </c>
      <c r="N33" s="9" t="s">
        <v>45</v>
      </c>
      <c r="O33" s="9" t="s">
        <v>105</v>
      </c>
      <c r="P33" s="9" t="s">
        <v>95</v>
      </c>
      <c r="Q33" s="9" t="s">
        <v>98</v>
      </c>
      <c r="R33" s="9" t="s">
        <v>99</v>
      </c>
      <c r="S33" s="9" t="s">
        <v>100</v>
      </c>
      <c r="T33" s="53" t="s">
        <v>1</v>
      </c>
      <c r="U33" s="3"/>
    </row>
    <row r="34" spans="2:43" x14ac:dyDescent="0.25">
      <c r="B34" s="54" t="s">
        <v>22</v>
      </c>
      <c r="C34" s="5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56" t="s">
        <v>117</v>
      </c>
      <c r="U34" s="3"/>
      <c r="AQ34" s="2">
        <v>0</v>
      </c>
    </row>
    <row r="35" spans="2:43" x14ac:dyDescent="0.25">
      <c r="B35" s="54" t="s">
        <v>23</v>
      </c>
      <c r="C35" s="5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56" t="s">
        <v>118</v>
      </c>
      <c r="U35" s="3"/>
      <c r="AQ35" s="2">
        <v>0</v>
      </c>
    </row>
    <row r="36" spans="2:43" x14ac:dyDescent="0.25">
      <c r="B36" s="54" t="s">
        <v>24</v>
      </c>
      <c r="C36" s="5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 t="s">
        <v>123</v>
      </c>
      <c r="U36" s="3"/>
      <c r="AQ36" s="2">
        <v>0</v>
      </c>
    </row>
    <row r="37" spans="2:43" x14ac:dyDescent="0.25">
      <c r="B37" s="54" t="s">
        <v>25</v>
      </c>
      <c r="C37" s="5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3"/>
      <c r="AQ37" s="2">
        <v>0</v>
      </c>
    </row>
    <row r="38" spans="2:43" x14ac:dyDescent="0.25">
      <c r="B38" s="54" t="s">
        <v>26</v>
      </c>
      <c r="C38" s="5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3"/>
      <c r="AQ38" s="2">
        <v>0</v>
      </c>
    </row>
    <row r="39" spans="2:43" x14ac:dyDescent="0.25">
      <c r="B39" s="7"/>
      <c r="U39" s="3"/>
      <c r="AQ39" s="2">
        <v>0</v>
      </c>
    </row>
    <row r="40" spans="2:43" x14ac:dyDescent="0.25">
      <c r="B40" s="2" t="s">
        <v>30</v>
      </c>
      <c r="U40" s="3"/>
      <c r="AQ40" s="2">
        <v>0</v>
      </c>
    </row>
    <row r="41" spans="2:43" ht="60" x14ac:dyDescent="0.25">
      <c r="B41" s="1" t="s">
        <v>29</v>
      </c>
      <c r="C41" s="9" t="s">
        <v>28</v>
      </c>
      <c r="D41" s="9" t="s">
        <v>101</v>
      </c>
      <c r="E41" s="9" t="s">
        <v>86</v>
      </c>
      <c r="F41" s="9" t="s">
        <v>85</v>
      </c>
      <c r="G41" s="9" t="s">
        <v>87</v>
      </c>
      <c r="H41" s="9" t="s">
        <v>41</v>
      </c>
      <c r="I41" s="9" t="s">
        <v>89</v>
      </c>
      <c r="J41" s="9" t="s">
        <v>90</v>
      </c>
      <c r="K41" s="9" t="s">
        <v>43</v>
      </c>
      <c r="L41" s="9" t="s">
        <v>96</v>
      </c>
      <c r="M41" s="9" t="s">
        <v>44</v>
      </c>
      <c r="N41" s="9" t="s">
        <v>45</v>
      </c>
      <c r="O41" s="9" t="s">
        <v>105</v>
      </c>
      <c r="P41" s="9" t="s">
        <v>95</v>
      </c>
      <c r="Q41" s="9" t="s">
        <v>98</v>
      </c>
      <c r="R41" s="9" t="s">
        <v>99</v>
      </c>
      <c r="S41" s="9" t="s">
        <v>100</v>
      </c>
      <c r="T41" s="9" t="s">
        <v>1</v>
      </c>
      <c r="U41" s="3"/>
      <c r="AQ41" s="2">
        <v>8</v>
      </c>
    </row>
    <row r="42" spans="2:43" x14ac:dyDescent="0.25">
      <c r="B42" s="54" t="s">
        <v>31</v>
      </c>
      <c r="C42" s="18">
        <v>1.8</v>
      </c>
      <c r="D42" s="19">
        <f>LOOKUP($C42,$AP$5:$AP$30,$AQ$5:$AQ$30)</f>
        <v>4.2699999999999996</v>
      </c>
      <c r="E42" s="19">
        <f>((C42*D42)/($X$10/2))*(60/(2*PI()))</f>
        <v>7.4893768934957601</v>
      </c>
      <c r="F42" s="19">
        <f t="shared" ref="F42:F43" si="49">E42*($X$4*$Y$4)/1000-$X$16</f>
        <v>494.29887497072014</v>
      </c>
      <c r="G42" s="18">
        <f>($X$42*$Y$42)*$X$8/1000</f>
        <v>375</v>
      </c>
      <c r="H42" s="5">
        <f t="shared" ref="H42:H45" si="50">IF(G42&gt;=F42,1, 2)</f>
        <v>2</v>
      </c>
      <c r="I42" s="50">
        <f t="shared" ref="I42:I43" si="51">IF(H42=1,(F42*1000)/($Y$5*$X$5),$X$8)</f>
        <v>1500</v>
      </c>
      <c r="J42" s="19">
        <f t="shared" ref="J42:J45" si="52">I42/E42</f>
        <v>200.283684655087</v>
      </c>
      <c r="K42" s="18">
        <f>(I42*$X$42/1000-$X$16)*$Y$42</f>
        <v>375</v>
      </c>
      <c r="L42" s="19">
        <f t="shared" ref="L42:L43" si="53">(((F42-K42)+$X$15)*1000/$I$4)/$Y$6</f>
        <v>79.532583313813419</v>
      </c>
      <c r="M42" s="18">
        <f t="shared" ref="M42:M43" si="54">$Y$6*I42*L42/1000</f>
        <v>119.29887497072014</v>
      </c>
      <c r="N42" s="18">
        <f t="shared" ref="N42:N45" si="55">SUM(K42,M42)</f>
        <v>494.29887497072014</v>
      </c>
      <c r="O42" s="51">
        <v>0.5</v>
      </c>
      <c r="P42" s="19">
        <f>O42*LOOKUP($C42,$AP$5:$AP$30,$AR$5:$AR$30)</f>
        <v>175.1916892683218</v>
      </c>
      <c r="Q42" s="19">
        <f t="shared" ref="Q42:Q43" si="56">P42*1000/$X$12</f>
        <v>166.84922787459217</v>
      </c>
      <c r="R42" s="18">
        <f t="shared" ref="R42:R45" si="57">P42*(2*PI()*E42/60)</f>
        <v>137.40033915472665</v>
      </c>
      <c r="S42" s="18">
        <f t="shared" ref="S42:S45" si="58">R42*0.85</f>
        <v>116.79028828151765</v>
      </c>
      <c r="T42" s="16" t="s">
        <v>39</v>
      </c>
      <c r="U42" s="3"/>
      <c r="V42" s="2" t="s">
        <v>68</v>
      </c>
      <c r="W42" s="2" t="s">
        <v>59</v>
      </c>
      <c r="X42" s="2">
        <v>250</v>
      </c>
      <c r="Y42" s="2">
        <v>1</v>
      </c>
      <c r="AQ42" s="2">
        <v>8</v>
      </c>
    </row>
    <row r="43" spans="2:43" x14ac:dyDescent="0.25">
      <c r="B43" s="54" t="s">
        <v>36</v>
      </c>
      <c r="C43" s="18">
        <v>2</v>
      </c>
      <c r="D43" s="19">
        <f>LOOKUP($C43,$AP$5:$AP$30,$AQ$5:$AQ$30)</f>
        <v>3.66</v>
      </c>
      <c r="E43" s="19">
        <f t="shared" ref="E43:E45" si="59">((C43*D43)/($X$10/2))*(60/(2*PI()))</f>
        <v>7.1327398985673911</v>
      </c>
      <c r="F43" s="19">
        <f t="shared" si="49"/>
        <v>470.76083330544782</v>
      </c>
      <c r="G43" s="18">
        <f t="shared" ref="G43:G45" si="60">($X$42*$Y$42)*$X$8/1000</f>
        <v>375</v>
      </c>
      <c r="H43" s="5">
        <f t="shared" si="50"/>
        <v>2</v>
      </c>
      <c r="I43" s="50">
        <f t="shared" si="51"/>
        <v>1500</v>
      </c>
      <c r="J43" s="19">
        <f t="shared" si="52"/>
        <v>210.29786888784136</v>
      </c>
      <c r="K43" s="18">
        <f t="shared" ref="K43:K45" si="61">(I43*$X$42/1000-$X$16)*$Y$42</f>
        <v>375</v>
      </c>
      <c r="L43" s="19">
        <f t="shared" si="53"/>
        <v>63.840555536965212</v>
      </c>
      <c r="M43" s="18">
        <f t="shared" si="54"/>
        <v>95.760833305447818</v>
      </c>
      <c r="N43" s="18">
        <f t="shared" si="55"/>
        <v>470.76083330544782</v>
      </c>
      <c r="O43" s="51">
        <v>0.5</v>
      </c>
      <c r="P43" s="19">
        <f>O43*LOOKUP($C43,$AP$5:$AP$30,$AR$5:$AR$30)</f>
        <v>183.89270879321262</v>
      </c>
      <c r="Q43" s="19">
        <f t="shared" si="56"/>
        <v>175.13591313639299</v>
      </c>
      <c r="R43" s="18">
        <f t="shared" si="57"/>
        <v>137.35659473125676</v>
      </c>
      <c r="S43" s="18">
        <f t="shared" si="58"/>
        <v>116.75310552156824</v>
      </c>
      <c r="T43" s="16" t="s">
        <v>39</v>
      </c>
      <c r="U43" s="3"/>
      <c r="V43" s="2" t="s">
        <v>70</v>
      </c>
      <c r="W43" s="2" t="s">
        <v>59</v>
      </c>
      <c r="X43" s="2">
        <v>355</v>
      </c>
      <c r="Y43" s="2">
        <v>1</v>
      </c>
      <c r="AQ43" s="2">
        <v>8</v>
      </c>
    </row>
    <row r="44" spans="2:43" x14ac:dyDescent="0.25">
      <c r="B44" s="54" t="s">
        <v>37</v>
      </c>
      <c r="C44" s="18">
        <v>2.2000000000000002</v>
      </c>
      <c r="D44" s="19">
        <f>LOOKUP($C44,$AP$5:$AP$30,$AQ$5:$AQ$30)</f>
        <v>3.2549999999999999</v>
      </c>
      <c r="E44" s="19">
        <f t="shared" si="59"/>
        <v>6.9778074335575262</v>
      </c>
      <c r="F44" s="19">
        <f>E44*($X$4*$Y$4)/1000-$X$16</f>
        <v>460.53529061479674</v>
      </c>
      <c r="G44" s="18">
        <f t="shared" si="60"/>
        <v>375</v>
      </c>
      <c r="H44" s="5">
        <f t="shared" si="50"/>
        <v>2</v>
      </c>
      <c r="I44" s="50">
        <f>IF(H44=1,(F44*1000)/($Y$5*$X$5),$X$8)</f>
        <v>1500</v>
      </c>
      <c r="J44" s="19">
        <f t="shared" si="52"/>
        <v>214.96723924856843</v>
      </c>
      <c r="K44" s="18">
        <f t="shared" si="61"/>
        <v>375</v>
      </c>
      <c r="L44" s="19">
        <f>(((F44-K44)+$X$15)*1000/$I$4)/$Y$6</f>
        <v>57.023527076531153</v>
      </c>
      <c r="M44" s="18">
        <f>$Y$6*I44*L44/1000</f>
        <v>85.535290614796736</v>
      </c>
      <c r="N44" s="18">
        <f t="shared" si="55"/>
        <v>460.53529061479674</v>
      </c>
      <c r="O44" s="51">
        <v>0.5</v>
      </c>
      <c r="P44" s="19">
        <f>O44*LOOKUP($C44,$AP$5:$AP$30,$AR$5:$AR$30)</f>
        <v>187.62426687472941</v>
      </c>
      <c r="Q44" s="19">
        <f>P44*1000/$X$12</f>
        <v>178.68977797593277</v>
      </c>
      <c r="R44" s="18">
        <f t="shared" si="57"/>
        <v>137.09973215203442</v>
      </c>
      <c r="S44" s="18">
        <f t="shared" si="58"/>
        <v>116.53477232922926</v>
      </c>
      <c r="T44" s="16" t="s">
        <v>39</v>
      </c>
      <c r="U44" s="3"/>
      <c r="AQ44" s="2">
        <v>8</v>
      </c>
    </row>
    <row r="45" spans="2:43" x14ac:dyDescent="0.25">
      <c r="B45" s="54" t="s">
        <v>38</v>
      </c>
      <c r="C45" s="18">
        <v>2.2999999999999998</v>
      </c>
      <c r="D45" s="19">
        <f>LOOKUP($C45,$AP$5:$AP$30,$AQ$5:$AQ$30)</f>
        <v>3.09</v>
      </c>
      <c r="E45" s="19">
        <f t="shared" si="59"/>
        <v>6.9251888605353065</v>
      </c>
      <c r="F45" s="19">
        <f>E45*($X$4*$Y$4)/1000-$X$16</f>
        <v>457.06246479533024</v>
      </c>
      <c r="G45" s="18">
        <f t="shared" si="60"/>
        <v>375</v>
      </c>
      <c r="H45" s="5">
        <f t="shared" si="50"/>
        <v>2</v>
      </c>
      <c r="I45" s="50">
        <f>IF(H45=1,(F45*1000)/($Y$5*$X$5),$X$8)</f>
        <v>1500</v>
      </c>
      <c r="J45" s="19">
        <f t="shared" si="52"/>
        <v>216.60059100309536</v>
      </c>
      <c r="K45" s="18">
        <f t="shared" si="61"/>
        <v>375</v>
      </c>
      <c r="L45" s="19">
        <f>(((F45-K45)+$X$15)*1000/$I$4)/$Y$6</f>
        <v>54.708309863553502</v>
      </c>
      <c r="M45" s="18">
        <f>$Y$6*I45*L45/1000</f>
        <v>82.062464795330243</v>
      </c>
      <c r="N45" s="18">
        <f t="shared" si="55"/>
        <v>457.06246479533024</v>
      </c>
      <c r="O45" s="51">
        <v>0.5</v>
      </c>
      <c r="P45" s="19">
        <f>O45*LOOKUP($C45,$AP$5:$AP$30,$AR$5:$AR$30)</f>
        <v>189.27203687301233</v>
      </c>
      <c r="Q45" s="19">
        <f>P45*1000/$X$12</f>
        <v>180.2590827362022</v>
      </c>
      <c r="R45" s="18">
        <f t="shared" si="57"/>
        <v>137.26085367923451</v>
      </c>
      <c r="S45" s="18">
        <f t="shared" si="58"/>
        <v>116.67172562734933</v>
      </c>
      <c r="T45" s="16" t="s">
        <v>39</v>
      </c>
      <c r="U45" s="3"/>
      <c r="AQ45" s="2">
        <v>8</v>
      </c>
    </row>
    <row r="46" spans="2:43" x14ac:dyDescent="0.25">
      <c r="B46" s="7"/>
      <c r="T46" s="2"/>
      <c r="U46" s="3"/>
      <c r="AQ46" s="2">
        <v>8</v>
      </c>
    </row>
    <row r="47" spans="2:43" ht="60" x14ac:dyDescent="0.25">
      <c r="B47" s="1" t="s">
        <v>29</v>
      </c>
      <c r="C47" s="9" t="s">
        <v>28</v>
      </c>
      <c r="D47" s="9" t="s">
        <v>101</v>
      </c>
      <c r="E47" s="9" t="s">
        <v>86</v>
      </c>
      <c r="F47" s="9" t="s">
        <v>85</v>
      </c>
      <c r="G47" s="9" t="s">
        <v>87</v>
      </c>
      <c r="H47" s="9" t="s">
        <v>41</v>
      </c>
      <c r="I47" s="9" t="s">
        <v>89</v>
      </c>
      <c r="J47" s="9" t="s">
        <v>90</v>
      </c>
      <c r="K47" s="9" t="s">
        <v>43</v>
      </c>
      <c r="L47" s="9" t="s">
        <v>96</v>
      </c>
      <c r="M47" s="9" t="s">
        <v>44</v>
      </c>
      <c r="N47" s="9" t="s">
        <v>45</v>
      </c>
      <c r="O47" s="9" t="s">
        <v>105</v>
      </c>
      <c r="P47" s="9" t="s">
        <v>95</v>
      </c>
      <c r="Q47" s="9" t="s">
        <v>98</v>
      </c>
      <c r="R47" s="9" t="s">
        <v>99</v>
      </c>
      <c r="S47" s="9" t="s">
        <v>100</v>
      </c>
      <c r="T47" s="9" t="s">
        <v>1</v>
      </c>
      <c r="U47" s="3"/>
      <c r="AQ47" s="2">
        <v>8</v>
      </c>
    </row>
    <row r="48" spans="2:43" hidden="1" x14ac:dyDescent="0.25">
      <c r="B48" s="54" t="s">
        <v>158</v>
      </c>
      <c r="C48" s="18">
        <v>1.6</v>
      </c>
      <c r="D48" s="19">
        <v>11.4</v>
      </c>
      <c r="E48" s="19">
        <f>((C48*D48)/($X$10/2))*(60/(2*PI()))</f>
        <v>17.773384665282681</v>
      </c>
      <c r="F48" s="19">
        <f t="shared" ref="F48:F49" si="62">E48*($X$4*$Y$4)/1000-$X$16</f>
        <v>1173.0433879086568</v>
      </c>
      <c r="G48" s="18">
        <f>($X$42*$Y$42)*$X$8/1000</f>
        <v>375</v>
      </c>
      <c r="H48" s="5">
        <f t="shared" ref="H48:H51" si="63">IF(G48&gt;=F48,1, 2)</f>
        <v>2</v>
      </c>
      <c r="I48" s="50">
        <f t="shared" ref="I48:I49" si="64">IF(H48=1,(F48*1000)/($Y$5*$X$5),$X$8)</f>
        <v>1500</v>
      </c>
      <c r="J48" s="19">
        <f t="shared" ref="J48:J51" si="65">I48/E48</f>
        <v>84.395855277357384</v>
      </c>
      <c r="K48" s="18">
        <f>(I48*$X$48/1000-$X$16)*$Y$42</f>
        <v>532.5</v>
      </c>
      <c r="L48" s="19">
        <f t="shared" ref="L48:L49" si="66">(((F48-K48)+$X$15)*1000/$I$4)/$Y$6</f>
        <v>427.02892527243785</v>
      </c>
      <c r="M48" s="18">
        <f t="shared" ref="M48:M49" si="67">$Y$6*I48*L48/1000</f>
        <v>640.54338790865677</v>
      </c>
      <c r="N48" s="18">
        <f t="shared" ref="N48:N51" si="68">SUM(K48,M48)</f>
        <v>1173.0433879086568</v>
      </c>
      <c r="O48" s="51">
        <v>1</v>
      </c>
      <c r="P48" s="19">
        <f>R48*2*PI()/(E48)</f>
        <v>72.470889041624702</v>
      </c>
      <c r="Q48" s="19">
        <f t="shared" ref="Q48:Q49" si="69">P48*1000/$X$12</f>
        <v>69.019894325356859</v>
      </c>
      <c r="R48" s="18">
        <v>205</v>
      </c>
      <c r="S48" s="18">
        <f t="shared" ref="S48:S51" si="70">R48*0.85</f>
        <v>174.25</v>
      </c>
      <c r="T48" s="16" t="s">
        <v>156</v>
      </c>
      <c r="U48" s="3"/>
      <c r="V48" s="2" t="s">
        <v>68</v>
      </c>
      <c r="W48" s="2" t="s">
        <v>59</v>
      </c>
      <c r="X48" s="2">
        <v>355</v>
      </c>
      <c r="Y48" s="2">
        <v>1</v>
      </c>
      <c r="AQ48" s="2">
        <v>8</v>
      </c>
    </row>
    <row r="49" spans="2:43" x14ac:dyDescent="0.25">
      <c r="B49" s="54" t="s">
        <v>153</v>
      </c>
      <c r="C49" s="18">
        <v>1.75</v>
      </c>
      <c r="D49" s="19">
        <v>11.3</v>
      </c>
      <c r="E49" s="19">
        <f t="shared" ref="E49:E51" si="71">((C49*D49)/($X$10/2))*(60/(2*PI()))</f>
        <v>19.269116324340185</v>
      </c>
      <c r="F49" s="19">
        <f t="shared" si="62"/>
        <v>1271.7616774064522</v>
      </c>
      <c r="G49" s="18">
        <f t="shared" ref="G49:G51" si="72">($X$42*$Y$42)*$X$8/1000</f>
        <v>375</v>
      </c>
      <c r="H49" s="5">
        <f t="shared" si="63"/>
        <v>2</v>
      </c>
      <c r="I49" s="50">
        <f t="shared" si="64"/>
        <v>1500</v>
      </c>
      <c r="J49" s="19">
        <f t="shared" si="65"/>
        <v>77.84477371726922</v>
      </c>
      <c r="K49" s="18">
        <f t="shared" ref="K49:K51" si="73">(I49*$X$48/1000-$X$16)*$Y$42</f>
        <v>532.5</v>
      </c>
      <c r="L49" s="19">
        <f t="shared" si="66"/>
        <v>492.84111827096814</v>
      </c>
      <c r="M49" s="18">
        <f t="shared" si="67"/>
        <v>739.26167740645224</v>
      </c>
      <c r="N49" s="18">
        <f t="shared" si="68"/>
        <v>1271.7616774064522</v>
      </c>
      <c r="O49" s="51">
        <v>1</v>
      </c>
      <c r="P49" s="19">
        <f t="shared" ref="P49:P51" si="74">R49*2*PI()/(E49)</f>
        <v>89.344666625554638</v>
      </c>
      <c r="Q49" s="19">
        <f t="shared" si="69"/>
        <v>85.090158691004419</v>
      </c>
      <c r="R49" s="18">
        <v>274</v>
      </c>
      <c r="S49" s="18">
        <f t="shared" si="70"/>
        <v>232.9</v>
      </c>
      <c r="T49" s="16" t="s">
        <v>156</v>
      </c>
      <c r="U49" s="3"/>
      <c r="V49" s="2" t="s">
        <v>70</v>
      </c>
      <c r="W49" s="2" t="s">
        <v>59</v>
      </c>
      <c r="X49" s="2">
        <v>500</v>
      </c>
      <c r="Y49" s="2">
        <v>1</v>
      </c>
      <c r="AQ49" s="2">
        <v>8</v>
      </c>
    </row>
    <row r="50" spans="2:43" x14ac:dyDescent="0.25">
      <c r="B50" s="54" t="s">
        <v>154</v>
      </c>
      <c r="C50" s="18">
        <v>1.6</v>
      </c>
      <c r="D50" s="19">
        <v>11</v>
      </c>
      <c r="E50" s="19">
        <f t="shared" si="71"/>
        <v>17.149757133167498</v>
      </c>
      <c r="F50" s="19">
        <f>E50*($X$4*$Y$4)/1000-$X$16</f>
        <v>1131.883970789055</v>
      </c>
      <c r="G50" s="18">
        <f t="shared" si="72"/>
        <v>375</v>
      </c>
      <c r="H50" s="5">
        <f t="shared" si="63"/>
        <v>2</v>
      </c>
      <c r="I50" s="50">
        <f>IF(H50=1,(F50*1000)/($Y$5*$X$5),$X$8)</f>
        <v>1500</v>
      </c>
      <c r="J50" s="19">
        <f t="shared" si="65"/>
        <v>87.46479546926129</v>
      </c>
      <c r="K50" s="18">
        <f t="shared" si="73"/>
        <v>532.5</v>
      </c>
      <c r="L50" s="19">
        <f>(((F50-K50)+$X$15)*1000/$I$4)/$Y$6</f>
        <v>399.58931385937001</v>
      </c>
      <c r="M50" s="18">
        <f>$Y$6*I50*L50/1000</f>
        <v>599.38397078905496</v>
      </c>
      <c r="N50" s="18">
        <f t="shared" si="68"/>
        <v>1131.883970789055</v>
      </c>
      <c r="O50" s="51">
        <v>1</v>
      </c>
      <c r="P50" s="19">
        <f t="shared" si="74"/>
        <v>104.94262693785922</v>
      </c>
      <c r="Q50" s="19">
        <f>P50*1000/$X$12</f>
        <v>99.945358988437349</v>
      </c>
      <c r="R50" s="18">
        <f t="shared" ref="R49:R51" si="75">$R$15</f>
        <v>286.43760718697621</v>
      </c>
      <c r="S50" s="18">
        <f t="shared" si="70"/>
        <v>243.47196610892976</v>
      </c>
      <c r="T50" s="16" t="s">
        <v>156</v>
      </c>
      <c r="U50" s="3"/>
      <c r="AQ50" s="2">
        <v>8</v>
      </c>
    </row>
    <row r="51" spans="2:43" x14ac:dyDescent="0.25">
      <c r="B51" s="54" t="s">
        <v>155</v>
      </c>
      <c r="C51" s="18">
        <v>1.6</v>
      </c>
      <c r="D51" s="19">
        <v>12</v>
      </c>
      <c r="E51" s="19">
        <f t="shared" si="71"/>
        <v>18.708825963455457</v>
      </c>
      <c r="F51" s="19">
        <f>E51*($X$4*$Y$4)/1000-$X$16</f>
        <v>1234.7825135880601</v>
      </c>
      <c r="G51" s="18">
        <f t="shared" si="72"/>
        <v>375</v>
      </c>
      <c r="H51" s="5">
        <f t="shared" si="63"/>
        <v>2</v>
      </c>
      <c r="I51" s="50">
        <f>IF(H51=1,(F51*1000)/($Y$5*$X$5),$X$8)</f>
        <v>1500</v>
      </c>
      <c r="J51" s="19">
        <f t="shared" si="65"/>
        <v>80.176062513489498</v>
      </c>
      <c r="K51" s="18">
        <f t="shared" si="73"/>
        <v>532.5</v>
      </c>
      <c r="L51" s="19">
        <f>(((F51-K51)+$X$15)*1000/$I$4)/$Y$6</f>
        <v>468.18834239204006</v>
      </c>
      <c r="M51" s="18">
        <f>$Y$6*I51*L51/1000</f>
        <v>702.28251358806006</v>
      </c>
      <c r="N51" s="18">
        <f t="shared" si="68"/>
        <v>1234.7825135880601</v>
      </c>
      <c r="O51" s="51">
        <v>1</v>
      </c>
      <c r="P51" s="19">
        <f t="shared" si="74"/>
        <v>96.197408026370923</v>
      </c>
      <c r="Q51" s="19">
        <f>P51*1000/$X$12</f>
        <v>91.616579072734211</v>
      </c>
      <c r="R51" s="18">
        <f t="shared" si="75"/>
        <v>286.43760718697621</v>
      </c>
      <c r="S51" s="18">
        <f t="shared" si="70"/>
        <v>243.47196610892976</v>
      </c>
      <c r="T51" s="16" t="s">
        <v>156</v>
      </c>
      <c r="U51" s="3"/>
      <c r="AQ51" s="2">
        <v>8</v>
      </c>
    </row>
    <row r="52" spans="2:43" x14ac:dyDescent="0.25">
      <c r="B52" s="7"/>
      <c r="T52" s="2"/>
      <c r="U52" s="3"/>
      <c r="AQ52" s="2">
        <v>8</v>
      </c>
    </row>
    <row r="53" spans="2:43" ht="60" x14ac:dyDescent="0.25">
      <c r="B53" s="1" t="s">
        <v>29</v>
      </c>
      <c r="C53" s="9" t="s">
        <v>28</v>
      </c>
      <c r="D53" s="9" t="s">
        <v>101</v>
      </c>
      <c r="E53" s="9" t="s">
        <v>86</v>
      </c>
      <c r="F53" s="9" t="s">
        <v>85</v>
      </c>
      <c r="G53" s="9" t="s">
        <v>87</v>
      </c>
      <c r="H53" s="9" t="s">
        <v>41</v>
      </c>
      <c r="I53" s="9" t="s">
        <v>89</v>
      </c>
      <c r="J53" s="9" t="s">
        <v>90</v>
      </c>
      <c r="K53" s="9" t="s">
        <v>43</v>
      </c>
      <c r="L53" s="9" t="s">
        <v>96</v>
      </c>
      <c r="M53" s="9" t="s">
        <v>44</v>
      </c>
      <c r="N53" s="9" t="s">
        <v>45</v>
      </c>
      <c r="O53" s="9" t="s">
        <v>105</v>
      </c>
      <c r="P53" s="9" t="s">
        <v>95</v>
      </c>
      <c r="Q53" s="9" t="s">
        <v>98</v>
      </c>
      <c r="R53" s="9" t="s">
        <v>99</v>
      </c>
      <c r="S53" s="9" t="s">
        <v>100</v>
      </c>
      <c r="T53" s="9" t="s">
        <v>1</v>
      </c>
      <c r="U53" s="3"/>
      <c r="AQ53" s="2">
        <v>8</v>
      </c>
    </row>
    <row r="54" spans="2:43" x14ac:dyDescent="0.25">
      <c r="B54" s="54" t="s">
        <v>32</v>
      </c>
      <c r="C54" s="18">
        <v>0.9</v>
      </c>
      <c r="D54" s="19">
        <f>LOOKUP($C54,$AP$5:$AP$30,$AQ$5:$AQ$30)</f>
        <v>7.9999999500000456</v>
      </c>
      <c r="E54" s="19">
        <f>((C54*D54)/(45.5/2))*(60/(2*PI()))</f>
        <v>3.0221949444387177</v>
      </c>
      <c r="F54" s="19">
        <f t="shared" ref="F54:F55" si="76">E54*($X$4*$Y$4)/1000-$X$16</f>
        <v>199.46486633295538</v>
      </c>
      <c r="G54" s="48">
        <f>($X$54*$Y$54)*$X$8/1000</f>
        <v>1.4999999999999999E-4</v>
      </c>
      <c r="H54" s="49">
        <f t="shared" ref="H54:H56" si="77">IF(G54&gt;=F54,1, 2)</f>
        <v>2</v>
      </c>
      <c r="I54" s="50">
        <f t="shared" ref="I54:I55" si="78">IF(H54=1,(F54*1000)/($Y$5*$X$5),$X$8)</f>
        <v>1500</v>
      </c>
      <c r="J54" s="19">
        <f t="shared" ref="J54:J56" si="79">I54/E54</f>
        <v>496.32800913793471</v>
      </c>
      <c r="K54" s="48">
        <f>(I54*$X$54/1000-$X$16)*$Y$54</f>
        <v>1.4999999999999999E-4</v>
      </c>
      <c r="L54" s="19">
        <f t="shared" ref="L54:L55" si="80">(((F54-K54)+$X$15)*1000/$I$4)/$Y$6</f>
        <v>132.9764775553036</v>
      </c>
      <c r="M54" s="48">
        <f t="shared" ref="M54:M55" si="81">$Y$6*I54*L54/1000</f>
        <v>199.46471633295539</v>
      </c>
      <c r="N54" s="48">
        <f t="shared" ref="N54:N56" si="82">SUM(K54,M54)</f>
        <v>199.46486633295538</v>
      </c>
      <c r="O54" s="51">
        <v>1</v>
      </c>
      <c r="P54" s="19">
        <f>O54*LOOKUP($C54,$AP$5:$AP$30,$AR$5:$AR$30)</f>
        <v>69.388727893805566</v>
      </c>
      <c r="Q54" s="19">
        <f t="shared" ref="Q54:Q55" si="83">P54*1000/$X$12</f>
        <v>66.084502756005307</v>
      </c>
      <c r="R54" s="18">
        <f t="shared" ref="R54:R56" si="84">P54*(2*PI()*E54/60)</f>
        <v>21.960388470897151</v>
      </c>
      <c r="S54" s="18">
        <f t="shared" ref="S54:S56" si="85">R54*0.85</f>
        <v>18.666330200262578</v>
      </c>
      <c r="T54" s="16" t="s">
        <v>124</v>
      </c>
      <c r="U54" s="3"/>
      <c r="V54" s="2" t="s">
        <v>68</v>
      </c>
      <c r="W54" s="2" t="s">
        <v>59</v>
      </c>
      <c r="X54" s="2">
        <v>1E-4</v>
      </c>
      <c r="Y54" s="2">
        <v>1</v>
      </c>
      <c r="AQ54" s="2">
        <v>8</v>
      </c>
    </row>
    <row r="55" spans="2:43" x14ac:dyDescent="0.25">
      <c r="B55" s="54" t="s">
        <v>33</v>
      </c>
      <c r="C55" s="41">
        <v>1.3</v>
      </c>
      <c r="D55" s="38">
        <f>LOOKUP($C55,$AP$5:$AP$30,$AQ$5:$AQ$30)</f>
        <v>7.9999999500000456</v>
      </c>
      <c r="E55" s="19">
        <f t="shared" ref="E55:E57" si="86">((C55*D55)/(45.5/2))*(60/(2*PI()))</f>
        <v>4.3653926975225925</v>
      </c>
      <c r="F55" s="38">
        <f t="shared" si="76"/>
        <v>288.11591803649111</v>
      </c>
      <c r="G55" s="28">
        <f>($X$54*$Y$54)*$X$8/1000</f>
        <v>1.4999999999999999E-4</v>
      </c>
      <c r="H55" s="29">
        <f t="shared" si="77"/>
        <v>2</v>
      </c>
      <c r="I55" s="44">
        <f t="shared" si="78"/>
        <v>1500</v>
      </c>
      <c r="J55" s="38">
        <f t="shared" si="79"/>
        <v>343.6116986339548</v>
      </c>
      <c r="K55" s="28">
        <f>(I55*$X$54/1000-$X$16)*$Y$54</f>
        <v>1.4999999999999999E-4</v>
      </c>
      <c r="L55" s="38">
        <f t="shared" si="80"/>
        <v>192.07717869099403</v>
      </c>
      <c r="M55" s="28">
        <f t="shared" si="81"/>
        <v>288.11576803649109</v>
      </c>
      <c r="N55" s="28">
        <f t="shared" si="82"/>
        <v>288.11591803649111</v>
      </c>
      <c r="O55" s="47">
        <v>1</v>
      </c>
      <c r="P55" s="38">
        <f>O55*LOOKUP($C55,$AP$5:$AP$30,$AR$5:$AR$30)</f>
        <v>144.75755959012375</v>
      </c>
      <c r="Q55" s="38">
        <f t="shared" si="83"/>
        <v>137.86434246678451</v>
      </c>
      <c r="R55" s="41">
        <f t="shared" si="84"/>
        <v>66.174883970463924</v>
      </c>
      <c r="S55" s="41">
        <f t="shared" si="85"/>
        <v>56.248651374894337</v>
      </c>
      <c r="T55" s="16" t="s">
        <v>124</v>
      </c>
      <c r="V55" s="2" t="s">
        <v>70</v>
      </c>
      <c r="W55" s="2" t="s">
        <v>59</v>
      </c>
      <c r="X55" s="2">
        <v>355</v>
      </c>
      <c r="Y55" s="2">
        <v>1</v>
      </c>
      <c r="AQ55" s="2">
        <v>8</v>
      </c>
    </row>
    <row r="56" spans="2:43" x14ac:dyDescent="0.25">
      <c r="B56" s="54" t="s">
        <v>34</v>
      </c>
      <c r="C56" s="41">
        <v>1.6</v>
      </c>
      <c r="D56" s="38">
        <f>LOOKUP($C56,$AP$5:$AP$30,$AQ$5:$AQ$30)</f>
        <v>8</v>
      </c>
      <c r="E56" s="19">
        <f t="shared" si="86"/>
        <v>5.3727910459154122</v>
      </c>
      <c r="F56" s="38">
        <f>E56*($X$4*$Y$4)/1000-$X$16</f>
        <v>354.60420903041722</v>
      </c>
      <c r="G56" s="28">
        <f>($X$54*$Y$54)*$X$8/1000</f>
        <v>1.4999999999999999E-4</v>
      </c>
      <c r="H56" s="29">
        <f t="shared" si="77"/>
        <v>2</v>
      </c>
      <c r="I56" s="44">
        <f>IF(H56=1,(F56*1000)/($Y$5*$X$5),$X$8)</f>
        <v>1500</v>
      </c>
      <c r="J56" s="38">
        <f t="shared" si="79"/>
        <v>279.18450339518665</v>
      </c>
      <c r="K56" s="28">
        <f>(I56*$X$54/1000-$X$16)*$Y$54</f>
        <v>1.4999999999999999E-4</v>
      </c>
      <c r="L56" s="38">
        <f>(((F56-K56)+$X$15)*1000/$I$4)/$Y$6</f>
        <v>236.40270602027812</v>
      </c>
      <c r="M56" s="28">
        <f>$Y$6*I56*L56/1000</f>
        <v>354.6040590304172</v>
      </c>
      <c r="N56" s="28">
        <f t="shared" si="82"/>
        <v>354.60420903041722</v>
      </c>
      <c r="O56" s="47">
        <v>1</v>
      </c>
      <c r="P56" s="38">
        <f>O56*LOOKUP($C56,$AP$5:$AP$30,$AR$5:$AR$30)</f>
        <v>219.30379300252864</v>
      </c>
      <c r="Q56" s="38">
        <f>P56*1000/$X$12</f>
        <v>208.86075524050347</v>
      </c>
      <c r="R56" s="41">
        <f t="shared" si="84"/>
        <v>123.38850771131281</v>
      </c>
      <c r="S56" s="41">
        <f t="shared" si="85"/>
        <v>104.88023155461589</v>
      </c>
      <c r="T56" s="16" t="s">
        <v>124</v>
      </c>
      <c r="AQ56" s="2">
        <v>4.6221152302416204</v>
      </c>
    </row>
    <row r="57" spans="2:43" x14ac:dyDescent="0.25">
      <c r="B57" s="54" t="s">
        <v>35</v>
      </c>
      <c r="C57" s="41">
        <v>1.8</v>
      </c>
      <c r="D57" s="38">
        <v>8</v>
      </c>
      <c r="E57" s="19">
        <f t="shared" si="86"/>
        <v>6.0443899266548389</v>
      </c>
      <c r="F57" s="38">
        <f>E57*($X$4*$Y$4)/1000-$X$16</f>
        <v>398.92973515921938</v>
      </c>
      <c r="G57" s="28">
        <f>($X$54*$Y$54)*$X$8/1000</f>
        <v>1.4999999999999999E-4</v>
      </c>
      <c r="H57" s="29">
        <f t="shared" ref="H57" si="87">IF(G57&gt;=F57,1, 2)</f>
        <v>2</v>
      </c>
      <c r="I57" s="44">
        <f>IF(H57=1,(F57*1000)/($Y$5*$X$5),$X$8)</f>
        <v>1500</v>
      </c>
      <c r="J57" s="38">
        <f t="shared" ref="J57" si="88">I57/E57</f>
        <v>248.16400301794371</v>
      </c>
      <c r="K57" s="28">
        <f>(I57*$X$54/1000-$X$16)*$Y$54</f>
        <v>1.4999999999999999E-4</v>
      </c>
      <c r="L57" s="38">
        <f>(((F57-K57)+$X$15)*1000/$I$4)/$Y$6</f>
        <v>265.95305677281289</v>
      </c>
      <c r="M57" s="28">
        <f>$Y$6*I57*L57/1000</f>
        <v>398.92958515921936</v>
      </c>
      <c r="N57" s="28">
        <f t="shared" ref="N57" si="89">SUM(K57,M57)</f>
        <v>398.92973515921938</v>
      </c>
      <c r="O57" s="47">
        <v>1</v>
      </c>
      <c r="P57" s="38">
        <f>P19</f>
        <v>286.2</v>
      </c>
      <c r="Q57" s="38">
        <f>P57*1000/$X$12</f>
        <v>272.57142857142856</v>
      </c>
      <c r="R57" s="41">
        <f t="shared" ref="R57" si="90">P57*(2*PI()*E57/60)</f>
        <v>181.15516483516481</v>
      </c>
      <c r="S57" s="41">
        <f t="shared" ref="S57" si="91">R57*0.85</f>
        <v>153.98189010989009</v>
      </c>
      <c r="T57" s="16" t="s">
        <v>124</v>
      </c>
      <c r="AQ57" s="2">
        <v>4.0625591463007433</v>
      </c>
    </row>
    <row r="58" spans="2:43" x14ac:dyDescent="0.25">
      <c r="AQ58" s="2">
        <v>3.7352224859546141</v>
      </c>
    </row>
    <row r="59" spans="2:43" x14ac:dyDescent="0.25">
      <c r="S59" s="57"/>
      <c r="AQ59" s="2">
        <v>3.4944076863132749</v>
      </c>
    </row>
    <row r="60" spans="2:43" x14ac:dyDescent="0.25">
      <c r="B60" s="2" t="s">
        <v>30</v>
      </c>
      <c r="T60" s="2"/>
      <c r="AQ60" s="2">
        <v>3.2898666721352132</v>
      </c>
    </row>
    <row r="61" spans="2:43" ht="60" x14ac:dyDescent="0.25">
      <c r="B61" s="1" t="s">
        <v>29</v>
      </c>
      <c r="C61" s="9" t="s">
        <v>28</v>
      </c>
      <c r="D61" s="9" t="s">
        <v>101</v>
      </c>
      <c r="E61" s="9" t="s">
        <v>86</v>
      </c>
      <c r="F61" s="9" t="s">
        <v>85</v>
      </c>
      <c r="G61" s="9" t="s">
        <v>87</v>
      </c>
      <c r="H61" s="9" t="s">
        <v>41</v>
      </c>
      <c r="I61" s="9" t="s">
        <v>89</v>
      </c>
      <c r="J61" s="9" t="s">
        <v>90</v>
      </c>
      <c r="K61" s="9" t="s">
        <v>43</v>
      </c>
      <c r="L61" s="9" t="s">
        <v>96</v>
      </c>
      <c r="M61" s="9" t="s">
        <v>44</v>
      </c>
      <c r="N61" s="9" t="s">
        <v>45</v>
      </c>
      <c r="O61" s="9" t="s">
        <v>105</v>
      </c>
      <c r="P61" s="9" t="s">
        <v>95</v>
      </c>
      <c r="Q61" s="9" t="s">
        <v>98</v>
      </c>
      <c r="R61" s="9" t="s">
        <v>99</v>
      </c>
      <c r="S61" s="9" t="s">
        <v>100</v>
      </c>
      <c r="T61" s="9" t="s">
        <v>1</v>
      </c>
      <c r="AQ61" s="2">
        <v>3.1109871148109733</v>
      </c>
    </row>
    <row r="62" spans="2:43" x14ac:dyDescent="0.25">
      <c r="B62" s="54" t="s">
        <v>135</v>
      </c>
      <c r="C62" s="18">
        <v>0.8</v>
      </c>
      <c r="D62" s="19">
        <f t="shared" ref="D62:D73" si="92">LOOKUP($C62,$AP$5:$AP$30,$AQ$5:$AQ$30)</f>
        <v>7.9999999500000456</v>
      </c>
      <c r="E62" s="19">
        <f>((C62*D62)/($X$10/2))*(60/(2*PI()))</f>
        <v>6.2362752821751322</v>
      </c>
      <c r="F62" s="19">
        <f t="shared" ref="F62:F63" si="93">E62*($X$4*$Y$4)/1000-$X$16</f>
        <v>411.59416862355869</v>
      </c>
      <c r="G62" s="18">
        <f>($X$42*$Y$42)*$X$8/1000</f>
        <v>375</v>
      </c>
      <c r="H62" s="5">
        <f t="shared" ref="H62:H65" si="94">IF(G62&gt;=F62,1, 2)</f>
        <v>2</v>
      </c>
      <c r="I62" s="50">
        <f t="shared" ref="I62:I63" si="95">IF(H62=1,(F62*1000)/($Y$5*$X$5),$X$8)</f>
        <v>1500</v>
      </c>
      <c r="J62" s="19">
        <f t="shared" ref="J62:J65" si="96">I62/E62</f>
        <v>240.52818904376835</v>
      </c>
      <c r="K62" s="18">
        <f>(I62*$X$42/1000-$X$16)*$Y$42</f>
        <v>375</v>
      </c>
      <c r="L62" s="19">
        <f t="shared" ref="L62:L63" si="97">(((F62-K62)+$X$15)*1000/$I$4)/$Y$6</f>
        <v>24.396112415705794</v>
      </c>
      <c r="M62" s="18">
        <f t="shared" ref="M62:M63" si="98">$Y$6*I62*L62/1000</f>
        <v>36.594168623558687</v>
      </c>
      <c r="N62" s="18">
        <f t="shared" ref="N62:N65" si="99">SUM(K62,M62)</f>
        <v>411.59416862355869</v>
      </c>
      <c r="O62" s="51">
        <v>1</v>
      </c>
      <c r="P62" s="19">
        <f t="shared" ref="P62:P73" si="100">O62*LOOKUP($C62,$AP$5:$AP$30,$AR$5:$AR$30)</f>
        <v>54.791839869687934</v>
      </c>
      <c r="Q62" s="19">
        <f t="shared" ref="Q62:Q63" si="101">P62*1000/$X$12</f>
        <v>52.182704637798032</v>
      </c>
      <c r="R62" s="18">
        <f t="shared" ref="R62:R65" si="102">P62*(2*PI()*E62/60)</f>
        <v>35.782425813707263</v>
      </c>
      <c r="S62" s="18">
        <f t="shared" ref="S62:S65" si="103">R62*0.85</f>
        <v>30.415061941651174</v>
      </c>
      <c r="T62" s="16" t="s">
        <v>39</v>
      </c>
      <c r="AQ62" s="2">
        <v>2.9523642839865185</v>
      </c>
    </row>
    <row r="63" spans="2:43" x14ac:dyDescent="0.25">
      <c r="B63" s="54" t="s">
        <v>136</v>
      </c>
      <c r="C63" s="18">
        <v>1.2</v>
      </c>
      <c r="D63" s="19">
        <f t="shared" si="92"/>
        <v>7.9999999500000172</v>
      </c>
      <c r="E63" s="19">
        <f t="shared" ref="E63:E65" si="104">((C63*D63)/($X$10/2))*(60/(2*PI()))</f>
        <v>9.3544129232626645</v>
      </c>
      <c r="F63" s="19">
        <f t="shared" si="93"/>
        <v>617.39125293533584</v>
      </c>
      <c r="G63" s="18">
        <f t="shared" ref="G63:G73" si="105">($X$42*$Y$42)*$X$8/1000</f>
        <v>375</v>
      </c>
      <c r="H63" s="5">
        <f t="shared" si="94"/>
        <v>2</v>
      </c>
      <c r="I63" s="50">
        <f t="shared" si="95"/>
        <v>1500</v>
      </c>
      <c r="J63" s="19">
        <f t="shared" si="96"/>
        <v>160.35212602917949</v>
      </c>
      <c r="K63" s="18">
        <f t="shared" ref="K63:K65" si="106">(I63*$X$42/1000-$X$16)*$Y$42</f>
        <v>375</v>
      </c>
      <c r="L63" s="19">
        <f t="shared" si="97"/>
        <v>161.59416862355724</v>
      </c>
      <c r="M63" s="18">
        <f t="shared" si="98"/>
        <v>242.39125293533584</v>
      </c>
      <c r="N63" s="18">
        <f t="shared" si="99"/>
        <v>617.39125293533584</v>
      </c>
      <c r="O63" s="51">
        <v>1</v>
      </c>
      <c r="P63" s="19">
        <f t="shared" si="100"/>
        <v>123.32835227016525</v>
      </c>
      <c r="Q63" s="19">
        <f t="shared" si="101"/>
        <v>117.45557359063358</v>
      </c>
      <c r="R63" s="18">
        <f t="shared" si="102"/>
        <v>120.81144636672323</v>
      </c>
      <c r="S63" s="18">
        <f t="shared" si="103"/>
        <v>102.68972941171475</v>
      </c>
      <c r="T63" s="16" t="s">
        <v>39</v>
      </c>
      <c r="AQ63" s="2">
        <v>2.8142410016523978</v>
      </c>
    </row>
    <row r="64" spans="2:43" x14ac:dyDescent="0.25">
      <c r="B64" s="54" t="s">
        <v>137</v>
      </c>
      <c r="C64" s="18">
        <v>1.6</v>
      </c>
      <c r="D64" s="19">
        <f t="shared" si="92"/>
        <v>8</v>
      </c>
      <c r="E64" s="19">
        <f t="shared" si="104"/>
        <v>12.472550642303634</v>
      </c>
      <c r="F64" s="19">
        <f>E64*($X$4*$Y$4)/1000-$X$16</f>
        <v>823.18834239203989</v>
      </c>
      <c r="G64" s="18">
        <f t="shared" si="105"/>
        <v>375</v>
      </c>
      <c r="H64" s="5">
        <f t="shared" si="94"/>
        <v>2</v>
      </c>
      <c r="I64" s="50">
        <f>IF(H64=1,(F64*1000)/($Y$5*$X$5),$X$8)</f>
        <v>1500</v>
      </c>
      <c r="J64" s="19">
        <f t="shared" si="96"/>
        <v>120.26409377023427</v>
      </c>
      <c r="K64" s="18">
        <f t="shared" si="106"/>
        <v>375</v>
      </c>
      <c r="L64" s="19">
        <f>(((F64-K64)+$X$15)*1000/$I$4)/$Y$6</f>
        <v>298.79222826135992</v>
      </c>
      <c r="M64" s="18">
        <f>$Y$6*I64*L64/1000</f>
        <v>448.18834239203989</v>
      </c>
      <c r="N64" s="18">
        <f t="shared" si="99"/>
        <v>823.18834239203989</v>
      </c>
      <c r="O64" s="51">
        <v>1</v>
      </c>
      <c r="P64" s="19">
        <f t="shared" si="100"/>
        <v>219.30379300252864</v>
      </c>
      <c r="Q64" s="19">
        <f>P64*1000/$X$12</f>
        <v>208.86075524050347</v>
      </c>
      <c r="R64" s="18">
        <f t="shared" si="102"/>
        <v>286.43760718697621</v>
      </c>
      <c r="S64" s="18">
        <f t="shared" si="103"/>
        <v>243.47196610892976</v>
      </c>
      <c r="T64" s="16" t="s">
        <v>39</v>
      </c>
    </row>
    <row r="65" spans="2:43" x14ac:dyDescent="0.25">
      <c r="B65" s="54" t="s">
        <v>138</v>
      </c>
      <c r="C65" s="18">
        <v>0.8</v>
      </c>
      <c r="D65" s="19">
        <f t="shared" si="92"/>
        <v>7.9999999500000456</v>
      </c>
      <c r="E65" s="19">
        <f t="shared" si="104"/>
        <v>6.2362752821751322</v>
      </c>
      <c r="F65" s="19">
        <f>E65*($X$4*$Y$4)/1000-$X$16</f>
        <v>411.59416862355869</v>
      </c>
      <c r="G65" s="18">
        <f t="shared" si="105"/>
        <v>375</v>
      </c>
      <c r="H65" s="5">
        <f t="shared" si="94"/>
        <v>2</v>
      </c>
      <c r="I65" s="50">
        <f>IF(H65=1,(F65*1000)/($Y$5*$X$5),$X$8)</f>
        <v>1500</v>
      </c>
      <c r="J65" s="19">
        <f t="shared" si="96"/>
        <v>240.52818904376835</v>
      </c>
      <c r="K65" s="18">
        <f t="shared" si="106"/>
        <v>375</v>
      </c>
      <c r="L65" s="19">
        <f>(((F65-K65)+$X$15)*1000/$I$4)/$Y$6</f>
        <v>24.396112415705794</v>
      </c>
      <c r="M65" s="18">
        <f>$Y$6*I65*L65/1000</f>
        <v>36.594168623558687</v>
      </c>
      <c r="N65" s="18">
        <f t="shared" si="99"/>
        <v>411.59416862355869</v>
      </c>
      <c r="O65" s="51">
        <v>1</v>
      </c>
      <c r="P65" s="19">
        <f t="shared" si="100"/>
        <v>54.791839869687934</v>
      </c>
      <c r="Q65" s="19">
        <f>P65*1000/$X$12</f>
        <v>52.182704637798032</v>
      </c>
      <c r="R65" s="18">
        <f t="shared" si="102"/>
        <v>35.782425813707263</v>
      </c>
      <c r="S65" s="18">
        <f t="shared" si="103"/>
        <v>30.415061941651174</v>
      </c>
      <c r="T65" s="16" t="s">
        <v>39</v>
      </c>
    </row>
    <row r="66" spans="2:43" x14ac:dyDescent="0.25">
      <c r="B66" s="54" t="s">
        <v>139</v>
      </c>
      <c r="C66" s="18">
        <v>1.2</v>
      </c>
      <c r="D66" s="19">
        <f t="shared" si="92"/>
        <v>7.9999999500000172</v>
      </c>
      <c r="E66" s="19">
        <f>((C66*D66)/($X$10/2))*(60/(2*PI()))</f>
        <v>9.3544129232626645</v>
      </c>
      <c r="F66" s="19">
        <f t="shared" ref="F66:F67" si="107">E66*($X$4*$Y$4)/1000-$X$16</f>
        <v>617.39125293533584</v>
      </c>
      <c r="G66" s="18">
        <f>($X$42*$Y$42)*$X$8/1000</f>
        <v>375</v>
      </c>
      <c r="H66" s="5">
        <f t="shared" ref="H66:H69" si="108">IF(G66&gt;=F66,1, 2)</f>
        <v>2</v>
      </c>
      <c r="I66" s="50">
        <f t="shared" ref="I66:I67" si="109">IF(H66=1,(F66*1000)/($Y$5*$X$5),$X$8)</f>
        <v>1500</v>
      </c>
      <c r="J66" s="19">
        <f t="shared" ref="J66:J69" si="110">I66/E66</f>
        <v>160.35212602917949</v>
      </c>
      <c r="K66" s="18">
        <f>(I66*$X$42/1000-$X$16)*$Y$42</f>
        <v>375</v>
      </c>
      <c r="L66" s="19">
        <f t="shared" ref="L66:L67" si="111">(((F66-K66)+$X$15)*1000/$I$4)/$Y$6</f>
        <v>161.59416862355724</v>
      </c>
      <c r="M66" s="18">
        <f t="shared" ref="M66:M67" si="112">$Y$6*I66*L66/1000</f>
        <v>242.39125293533584</v>
      </c>
      <c r="N66" s="18">
        <f t="shared" ref="N66:N69" si="113">SUM(K66,M66)</f>
        <v>617.39125293533584</v>
      </c>
      <c r="O66" s="51">
        <v>1</v>
      </c>
      <c r="P66" s="19">
        <f t="shared" si="100"/>
        <v>123.32835227016525</v>
      </c>
      <c r="Q66" s="19">
        <f t="shared" ref="Q66:Q67" si="114">P66*1000/$X$12</f>
        <v>117.45557359063358</v>
      </c>
      <c r="R66" s="18">
        <f t="shared" ref="R66:R69" si="115">P66*(2*PI()*E66/60)</f>
        <v>120.81144636672323</v>
      </c>
      <c r="S66" s="18">
        <f t="shared" ref="S66:S69" si="116">R66*0.85</f>
        <v>102.68972941171475</v>
      </c>
      <c r="T66" s="16" t="s">
        <v>39</v>
      </c>
      <c r="AQ66" s="2">
        <v>2.9523642839865185</v>
      </c>
    </row>
    <row r="67" spans="2:43" x14ac:dyDescent="0.25">
      <c r="B67" s="54" t="s">
        <v>140</v>
      </c>
      <c r="C67" s="18">
        <v>1.6</v>
      </c>
      <c r="D67" s="19">
        <f t="shared" si="92"/>
        <v>8</v>
      </c>
      <c r="E67" s="19">
        <f t="shared" ref="E67:E69" si="117">((C67*D67)/($X$10/2))*(60/(2*PI()))</f>
        <v>12.472550642303634</v>
      </c>
      <c r="F67" s="19">
        <f t="shared" si="107"/>
        <v>823.18834239203989</v>
      </c>
      <c r="G67" s="18">
        <f t="shared" si="105"/>
        <v>375</v>
      </c>
      <c r="H67" s="5">
        <f t="shared" si="108"/>
        <v>2</v>
      </c>
      <c r="I67" s="50">
        <f t="shared" si="109"/>
        <v>1500</v>
      </c>
      <c r="J67" s="19">
        <f t="shared" si="110"/>
        <v>120.26409377023427</v>
      </c>
      <c r="K67" s="18">
        <f t="shared" ref="K67:K69" si="118">(I67*$X$42/1000-$X$16)*$Y$42</f>
        <v>375</v>
      </c>
      <c r="L67" s="19">
        <f t="shared" si="111"/>
        <v>298.79222826135992</v>
      </c>
      <c r="M67" s="18">
        <f t="shared" si="112"/>
        <v>448.18834239203989</v>
      </c>
      <c r="N67" s="18">
        <f t="shared" si="113"/>
        <v>823.18834239203989</v>
      </c>
      <c r="O67" s="51">
        <v>1</v>
      </c>
      <c r="P67" s="19">
        <f t="shared" si="100"/>
        <v>219.30379300252864</v>
      </c>
      <c r="Q67" s="19">
        <f t="shared" si="114"/>
        <v>208.86075524050347</v>
      </c>
      <c r="R67" s="18">
        <f t="shared" si="115"/>
        <v>286.43760718697621</v>
      </c>
      <c r="S67" s="18">
        <f t="shared" si="116"/>
        <v>243.47196610892976</v>
      </c>
      <c r="T67" s="16" t="s">
        <v>39</v>
      </c>
      <c r="AQ67" s="2">
        <v>2.8142410016523978</v>
      </c>
    </row>
    <row r="68" spans="2:43" x14ac:dyDescent="0.25">
      <c r="B68" s="54" t="s">
        <v>141</v>
      </c>
      <c r="C68" s="18">
        <v>0.8</v>
      </c>
      <c r="D68" s="19">
        <f t="shared" si="92"/>
        <v>7.9999999500000456</v>
      </c>
      <c r="E68" s="19">
        <f t="shared" si="117"/>
        <v>6.2362752821751322</v>
      </c>
      <c r="F68" s="19">
        <f>E68*($X$4*$Y$4)/1000-$X$16</f>
        <v>411.59416862355869</v>
      </c>
      <c r="G68" s="18">
        <f t="shared" si="105"/>
        <v>375</v>
      </c>
      <c r="H68" s="5">
        <f t="shared" si="108"/>
        <v>2</v>
      </c>
      <c r="I68" s="50">
        <f>IF(H68=1,(F68*1000)/($Y$5*$X$5),$X$8)</f>
        <v>1500</v>
      </c>
      <c r="J68" s="19">
        <f t="shared" si="110"/>
        <v>240.52818904376835</v>
      </c>
      <c r="K68" s="18">
        <f t="shared" si="118"/>
        <v>375</v>
      </c>
      <c r="L68" s="19">
        <f>(((F68-K68)+$X$15)*1000/$I$4)/$Y$6</f>
        <v>24.396112415705794</v>
      </c>
      <c r="M68" s="18">
        <f>$Y$6*I68*L68/1000</f>
        <v>36.594168623558687</v>
      </c>
      <c r="N68" s="18">
        <f t="shared" si="113"/>
        <v>411.59416862355869</v>
      </c>
      <c r="O68" s="51">
        <v>1</v>
      </c>
      <c r="P68" s="19">
        <f t="shared" si="100"/>
        <v>54.791839869687934</v>
      </c>
      <c r="Q68" s="19">
        <f>P68*1000/$X$12</f>
        <v>52.182704637798032</v>
      </c>
      <c r="R68" s="18">
        <f t="shared" si="115"/>
        <v>35.782425813707263</v>
      </c>
      <c r="S68" s="18">
        <f t="shared" si="116"/>
        <v>30.415061941651174</v>
      </c>
      <c r="T68" s="16" t="s">
        <v>39</v>
      </c>
    </row>
    <row r="69" spans="2:43" x14ac:dyDescent="0.25">
      <c r="B69" s="54" t="s">
        <v>142</v>
      </c>
      <c r="C69" s="18">
        <v>1.2</v>
      </c>
      <c r="D69" s="19">
        <f t="shared" si="92"/>
        <v>7.9999999500000172</v>
      </c>
      <c r="E69" s="19">
        <f t="shared" si="117"/>
        <v>9.3544129232626645</v>
      </c>
      <c r="F69" s="19">
        <f>E69*($X$4*$Y$4)/1000-$X$16</f>
        <v>617.39125293533584</v>
      </c>
      <c r="G69" s="18">
        <f t="shared" si="105"/>
        <v>375</v>
      </c>
      <c r="H69" s="5">
        <f t="shared" si="108"/>
        <v>2</v>
      </c>
      <c r="I69" s="50">
        <f>IF(H69=1,(F69*1000)/($Y$5*$X$5),$X$8)</f>
        <v>1500</v>
      </c>
      <c r="J69" s="19">
        <f t="shared" si="110"/>
        <v>160.35212602917949</v>
      </c>
      <c r="K69" s="18">
        <f t="shared" si="118"/>
        <v>375</v>
      </c>
      <c r="L69" s="19">
        <f>(((F69-K69)+$X$15)*1000/$I$4)/$Y$6</f>
        <v>161.59416862355724</v>
      </c>
      <c r="M69" s="18">
        <f>$Y$6*I69*L69/1000</f>
        <v>242.39125293533584</v>
      </c>
      <c r="N69" s="18">
        <f t="shared" si="113"/>
        <v>617.39125293533584</v>
      </c>
      <c r="O69" s="51">
        <v>1</v>
      </c>
      <c r="P69" s="19">
        <f t="shared" si="100"/>
        <v>123.32835227016525</v>
      </c>
      <c r="Q69" s="19">
        <f>P69*1000/$X$12</f>
        <v>117.45557359063358</v>
      </c>
      <c r="R69" s="18">
        <f t="shared" si="115"/>
        <v>120.81144636672323</v>
      </c>
      <c r="S69" s="18">
        <f t="shared" si="116"/>
        <v>102.68972941171475</v>
      </c>
      <c r="T69" s="16" t="s">
        <v>39</v>
      </c>
    </row>
    <row r="70" spans="2:43" x14ac:dyDescent="0.25">
      <c r="B70" s="54" t="s">
        <v>143</v>
      </c>
      <c r="C70" s="18">
        <v>1.6</v>
      </c>
      <c r="D70" s="19">
        <f t="shared" si="92"/>
        <v>8</v>
      </c>
      <c r="E70" s="19">
        <f>((C70*D70)/($X$10/2))*(60/(2*PI()))</f>
        <v>12.472550642303634</v>
      </c>
      <c r="F70" s="19">
        <f t="shared" ref="F70:F71" si="119">E70*($X$4*$Y$4)/1000-$X$16</f>
        <v>823.18834239203989</v>
      </c>
      <c r="G70" s="18">
        <f>($X$42*$Y$42)*$X$8/1000</f>
        <v>375</v>
      </c>
      <c r="H70" s="5">
        <f t="shared" ref="H70:H73" si="120">IF(G70&gt;=F70,1, 2)</f>
        <v>2</v>
      </c>
      <c r="I70" s="50">
        <f t="shared" ref="I70:I71" si="121">IF(H70=1,(F70*1000)/($Y$5*$X$5),$X$8)</f>
        <v>1500</v>
      </c>
      <c r="J70" s="19">
        <f t="shared" ref="J70:J73" si="122">I70/E70</f>
        <v>120.26409377023427</v>
      </c>
      <c r="K70" s="18">
        <f>(I70*$X$42/1000-$X$16)*$Y$42</f>
        <v>375</v>
      </c>
      <c r="L70" s="19">
        <f t="shared" ref="L70:L71" si="123">(((F70-K70)+$X$15)*1000/$I$4)/$Y$6</f>
        <v>298.79222826135992</v>
      </c>
      <c r="M70" s="18">
        <f t="shared" ref="M70:M71" si="124">$Y$6*I70*L70/1000</f>
        <v>448.18834239203989</v>
      </c>
      <c r="N70" s="18">
        <f t="shared" ref="N70:N73" si="125">SUM(K70,M70)</f>
        <v>823.18834239203989</v>
      </c>
      <c r="O70" s="51">
        <v>1</v>
      </c>
      <c r="P70" s="19">
        <f t="shared" si="100"/>
        <v>219.30379300252864</v>
      </c>
      <c r="Q70" s="19">
        <f t="shared" ref="Q70:Q71" si="126">P70*1000/$X$12</f>
        <v>208.86075524050347</v>
      </c>
      <c r="R70" s="18">
        <f t="shared" ref="R70:R73" si="127">P70*(2*PI()*E70/60)</f>
        <v>286.43760718697621</v>
      </c>
      <c r="S70" s="18">
        <f t="shared" ref="S70:S73" si="128">R70*0.85</f>
        <v>243.47196610892976</v>
      </c>
      <c r="T70" s="16" t="s">
        <v>39</v>
      </c>
      <c r="AQ70" s="2">
        <v>2.9523642839865185</v>
      </c>
    </row>
    <row r="71" spans="2:43" x14ac:dyDescent="0.25">
      <c r="B71" s="54" t="s">
        <v>144</v>
      </c>
      <c r="C71" s="18">
        <v>0.8</v>
      </c>
      <c r="D71" s="19">
        <f t="shared" si="92"/>
        <v>7.9999999500000456</v>
      </c>
      <c r="E71" s="19">
        <f t="shared" ref="E71:E73" si="129">((C71*D71)/($X$10/2))*(60/(2*PI()))</f>
        <v>6.2362752821751322</v>
      </c>
      <c r="F71" s="19">
        <f t="shared" si="119"/>
        <v>411.59416862355869</v>
      </c>
      <c r="G71" s="18">
        <f t="shared" si="105"/>
        <v>375</v>
      </c>
      <c r="H71" s="5">
        <f t="shared" si="120"/>
        <v>2</v>
      </c>
      <c r="I71" s="50">
        <f t="shared" si="121"/>
        <v>1500</v>
      </c>
      <c r="J71" s="19">
        <f t="shared" si="122"/>
        <v>240.52818904376835</v>
      </c>
      <c r="K71" s="18">
        <f t="shared" ref="K71:K73" si="130">(I71*$X$42/1000-$X$16)*$Y$42</f>
        <v>375</v>
      </c>
      <c r="L71" s="19">
        <f t="shared" si="123"/>
        <v>24.396112415705794</v>
      </c>
      <c r="M71" s="18">
        <f t="shared" si="124"/>
        <v>36.594168623558687</v>
      </c>
      <c r="N71" s="18">
        <f t="shared" si="125"/>
        <v>411.59416862355869</v>
      </c>
      <c r="O71" s="51">
        <v>1</v>
      </c>
      <c r="P71" s="19">
        <f t="shared" si="100"/>
        <v>54.791839869687934</v>
      </c>
      <c r="Q71" s="19">
        <f t="shared" si="126"/>
        <v>52.182704637798032</v>
      </c>
      <c r="R71" s="18">
        <f t="shared" si="127"/>
        <v>35.782425813707263</v>
      </c>
      <c r="S71" s="18">
        <f t="shared" si="128"/>
        <v>30.415061941651174</v>
      </c>
      <c r="T71" s="16" t="s">
        <v>39</v>
      </c>
      <c r="AQ71" s="2">
        <v>2.8142410016523978</v>
      </c>
    </row>
    <row r="72" spans="2:43" x14ac:dyDescent="0.25">
      <c r="B72" s="54" t="s">
        <v>145</v>
      </c>
      <c r="C72" s="18">
        <v>1.2</v>
      </c>
      <c r="D72" s="19">
        <f t="shared" si="92"/>
        <v>7.9999999500000172</v>
      </c>
      <c r="E72" s="19">
        <f t="shared" si="129"/>
        <v>9.3544129232626645</v>
      </c>
      <c r="F72" s="19">
        <f>E72*($X$4*$Y$4)/1000-$X$16</f>
        <v>617.39125293533584</v>
      </c>
      <c r="G72" s="18">
        <f t="shared" si="105"/>
        <v>375</v>
      </c>
      <c r="H72" s="5">
        <f t="shared" si="120"/>
        <v>2</v>
      </c>
      <c r="I72" s="50">
        <f>IF(H72=1,(F72*1000)/($Y$5*$X$5),$X$8)</f>
        <v>1500</v>
      </c>
      <c r="J72" s="19">
        <f t="shared" si="122"/>
        <v>160.35212602917949</v>
      </c>
      <c r="K72" s="18">
        <f t="shared" si="130"/>
        <v>375</v>
      </c>
      <c r="L72" s="19">
        <f>(((F72-K72)+$X$15)*1000/$I$4)/$Y$6</f>
        <v>161.59416862355724</v>
      </c>
      <c r="M72" s="18">
        <f>$Y$6*I72*L72/1000</f>
        <v>242.39125293533584</v>
      </c>
      <c r="N72" s="18">
        <f t="shared" si="125"/>
        <v>617.39125293533584</v>
      </c>
      <c r="O72" s="51">
        <v>1</v>
      </c>
      <c r="P72" s="19">
        <f t="shared" si="100"/>
        <v>123.32835227016525</v>
      </c>
      <c r="Q72" s="19">
        <f>P72*1000/$X$12</f>
        <v>117.45557359063358</v>
      </c>
      <c r="R72" s="18">
        <f t="shared" si="127"/>
        <v>120.81144636672323</v>
      </c>
      <c r="S72" s="18">
        <f t="shared" si="128"/>
        <v>102.68972941171475</v>
      </c>
      <c r="T72" s="16" t="s">
        <v>39</v>
      </c>
    </row>
    <row r="73" spans="2:43" x14ac:dyDescent="0.25">
      <c r="B73" s="54" t="s">
        <v>146</v>
      </c>
      <c r="C73" s="18">
        <v>1.6</v>
      </c>
      <c r="D73" s="19">
        <f t="shared" si="92"/>
        <v>8</v>
      </c>
      <c r="E73" s="19">
        <f t="shared" si="129"/>
        <v>12.472550642303634</v>
      </c>
      <c r="F73" s="19">
        <f>E73*($X$4*$Y$4)/1000-$X$16</f>
        <v>823.18834239203989</v>
      </c>
      <c r="G73" s="18">
        <f t="shared" si="105"/>
        <v>375</v>
      </c>
      <c r="H73" s="5">
        <f t="shared" si="120"/>
        <v>2</v>
      </c>
      <c r="I73" s="50">
        <f>IF(H73=1,(F73*1000)/($Y$5*$X$5),$X$8)</f>
        <v>1500</v>
      </c>
      <c r="J73" s="19">
        <f t="shared" si="122"/>
        <v>120.26409377023427</v>
      </c>
      <c r="K73" s="18">
        <f t="shared" si="130"/>
        <v>375</v>
      </c>
      <c r="L73" s="19">
        <f>(((F73-K73)+$X$15)*1000/$I$4)/$Y$6</f>
        <v>298.79222826135992</v>
      </c>
      <c r="M73" s="18">
        <f>$Y$6*I73*L73/1000</f>
        <v>448.18834239203989</v>
      </c>
      <c r="N73" s="18">
        <f t="shared" si="125"/>
        <v>823.18834239203989</v>
      </c>
      <c r="O73" s="51">
        <v>1</v>
      </c>
      <c r="P73" s="19">
        <f t="shared" si="100"/>
        <v>219.30379300252864</v>
      </c>
      <c r="Q73" s="19">
        <f>P73*1000/$X$12</f>
        <v>208.86075524050347</v>
      </c>
      <c r="R73" s="18">
        <f t="shared" si="127"/>
        <v>286.43760718697621</v>
      </c>
      <c r="S73" s="18">
        <f t="shared" si="128"/>
        <v>243.47196610892976</v>
      </c>
      <c r="T73" s="16" t="s">
        <v>39</v>
      </c>
    </row>
    <row r="75" spans="2:43" x14ac:dyDescent="0.25">
      <c r="B75" s="58"/>
    </row>
    <row r="76" spans="2:43" ht="60" x14ac:dyDescent="0.25">
      <c r="B76" s="1" t="s">
        <v>29</v>
      </c>
      <c r="C76" s="9" t="s">
        <v>28</v>
      </c>
      <c r="D76" s="9" t="s">
        <v>101</v>
      </c>
      <c r="E76" s="9" t="s">
        <v>86</v>
      </c>
      <c r="F76" s="9" t="s">
        <v>85</v>
      </c>
      <c r="G76" s="9" t="s">
        <v>87</v>
      </c>
      <c r="H76" s="9" t="s">
        <v>41</v>
      </c>
      <c r="I76" s="9" t="s">
        <v>89</v>
      </c>
      <c r="J76" s="9" t="s">
        <v>90</v>
      </c>
      <c r="K76" s="9" t="s">
        <v>43</v>
      </c>
      <c r="L76" s="9" t="s">
        <v>96</v>
      </c>
      <c r="M76" s="9" t="s">
        <v>44</v>
      </c>
      <c r="N76" s="9" t="s">
        <v>45</v>
      </c>
      <c r="O76" s="9" t="s">
        <v>105</v>
      </c>
      <c r="P76" s="9" t="s">
        <v>95</v>
      </c>
      <c r="Q76" s="9" t="s">
        <v>98</v>
      </c>
      <c r="R76" s="9" t="s">
        <v>99</v>
      </c>
      <c r="S76" s="9" t="s">
        <v>100</v>
      </c>
      <c r="T76" s="9" t="s">
        <v>1</v>
      </c>
    </row>
    <row r="77" spans="2:43" x14ac:dyDescent="0.25">
      <c r="B77" s="54" t="s">
        <v>147</v>
      </c>
      <c r="C77" s="18">
        <v>0.8</v>
      </c>
      <c r="D77" s="19">
        <f t="shared" ref="D77:D83" si="131">LOOKUP($C77,$AP$5:$AP$30,$AQ$5:$AQ$30)</f>
        <v>7.9999999500000456</v>
      </c>
      <c r="E77" s="19">
        <f>((C77*D77)/($X$10/2))*(60/(2*PI()))</f>
        <v>6.2362752821751322</v>
      </c>
      <c r="F77" s="19">
        <f t="shared" ref="F77:F83" si="132">E77*($X$4*$Y$4)/1000-$X$16</f>
        <v>411.59416862355869</v>
      </c>
      <c r="G77" s="18">
        <f>($X$42*$Y$42)*$X$8/1000</f>
        <v>375</v>
      </c>
      <c r="H77" s="5">
        <f t="shared" ref="H77:H83" si="133">IF(G77&gt;=F77,1, 2)</f>
        <v>2</v>
      </c>
      <c r="I77" s="50">
        <f t="shared" ref="I77:I78" si="134">IF(H77=1,(F77*1000)/($Y$5*$X$5),$X$8)</f>
        <v>1500</v>
      </c>
      <c r="J77" s="19">
        <f t="shared" ref="J77:J83" si="135">I77/E77</f>
        <v>240.52818904376835</v>
      </c>
      <c r="K77" s="18">
        <f>(I77*$X$42/1000-$X$16)*$Y$42</f>
        <v>375</v>
      </c>
      <c r="L77" s="19">
        <f t="shared" ref="L77:L78" si="136">(((F77-K77)+$X$15)*1000/$I$4)/$Y$6</f>
        <v>24.396112415705794</v>
      </c>
      <c r="M77" s="18">
        <f t="shared" ref="M77:M78" si="137">$Y$6*I77*L77/1000</f>
        <v>36.594168623558687</v>
      </c>
      <c r="N77" s="18">
        <f t="shared" ref="N77:N83" si="138">SUM(K77,M77)</f>
        <v>411.59416862355869</v>
      </c>
      <c r="O77" s="51">
        <v>1</v>
      </c>
      <c r="P77" s="19">
        <f t="shared" ref="P77:P83" si="139">O77*LOOKUP($C77,$AP$5:$AP$30,$AR$5:$AR$30)</f>
        <v>54.791839869687934</v>
      </c>
      <c r="Q77" s="19">
        <f t="shared" ref="Q77:Q78" si="140">P77*1000/$X$12</f>
        <v>52.182704637798032</v>
      </c>
      <c r="R77" s="18">
        <f t="shared" ref="R77:R83" si="141">P77*(2*PI()*E77/60)</f>
        <v>35.782425813707263</v>
      </c>
      <c r="S77" s="18">
        <f t="shared" ref="S77:S83" si="142">R77*0.85</f>
        <v>30.415061941651174</v>
      </c>
      <c r="T77" s="16" t="s">
        <v>39</v>
      </c>
    </row>
    <row r="78" spans="2:43" x14ac:dyDescent="0.25">
      <c r="B78" s="54" t="s">
        <v>148</v>
      </c>
      <c r="C78" s="18">
        <v>1.2</v>
      </c>
      <c r="D78" s="19">
        <f t="shared" si="131"/>
        <v>7.9999999500000172</v>
      </c>
      <c r="E78" s="19">
        <f t="shared" ref="E78:E81" si="143">((C78*D78)/($X$10/2))*(60/(2*PI()))</f>
        <v>9.3544129232626645</v>
      </c>
      <c r="F78" s="19">
        <f t="shared" si="132"/>
        <v>617.39125293533584</v>
      </c>
      <c r="G78" s="18">
        <f t="shared" ref="G78:G83" si="144">($X$42*$Y$42)*$X$8/1000</f>
        <v>375</v>
      </c>
      <c r="H78" s="5">
        <f t="shared" si="133"/>
        <v>2</v>
      </c>
      <c r="I78" s="50">
        <f t="shared" si="134"/>
        <v>1500</v>
      </c>
      <c r="J78" s="19">
        <f t="shared" si="135"/>
        <v>160.35212602917949</v>
      </c>
      <c r="K78" s="18">
        <f t="shared" ref="K78:K81" si="145">(I78*$X$42/1000-$X$16)*$Y$42</f>
        <v>375</v>
      </c>
      <c r="L78" s="19">
        <f t="shared" si="136"/>
        <v>161.59416862355724</v>
      </c>
      <c r="M78" s="18">
        <f t="shared" si="137"/>
        <v>242.39125293533584</v>
      </c>
      <c r="N78" s="18">
        <f t="shared" si="138"/>
        <v>617.39125293533584</v>
      </c>
      <c r="O78" s="51">
        <v>1</v>
      </c>
      <c r="P78" s="19">
        <f t="shared" si="139"/>
        <v>123.32835227016525</v>
      </c>
      <c r="Q78" s="19">
        <f t="shared" si="140"/>
        <v>117.45557359063358</v>
      </c>
      <c r="R78" s="18">
        <f t="shared" si="141"/>
        <v>120.81144636672323</v>
      </c>
      <c r="S78" s="18">
        <f t="shared" si="142"/>
        <v>102.68972941171475</v>
      </c>
      <c r="T78" s="16" t="s">
        <v>39</v>
      </c>
    </row>
    <row r="79" spans="2:43" x14ac:dyDescent="0.25">
      <c r="B79" s="54" t="s">
        <v>149</v>
      </c>
      <c r="C79" s="18">
        <v>1.6</v>
      </c>
      <c r="D79" s="19">
        <f t="shared" si="131"/>
        <v>8</v>
      </c>
      <c r="E79" s="19">
        <f t="shared" si="143"/>
        <v>12.472550642303634</v>
      </c>
      <c r="F79" s="19">
        <f t="shared" si="132"/>
        <v>823.18834239203989</v>
      </c>
      <c r="G79" s="18">
        <f t="shared" si="144"/>
        <v>375</v>
      </c>
      <c r="H79" s="5">
        <f t="shared" si="133"/>
        <v>2</v>
      </c>
      <c r="I79" s="50">
        <f>IF(H79=1,(F79*1000)/($Y$5*$X$5),$X$8)</f>
        <v>1500</v>
      </c>
      <c r="J79" s="19">
        <f t="shared" si="135"/>
        <v>120.26409377023427</v>
      </c>
      <c r="K79" s="18">
        <f t="shared" si="145"/>
        <v>375</v>
      </c>
      <c r="L79" s="19">
        <f>(((F79-K79)+$X$15)*1000/$I$4)/$Y$6</f>
        <v>298.79222826135992</v>
      </c>
      <c r="M79" s="18">
        <f>$Y$6*I79*L79/1000</f>
        <v>448.18834239203989</v>
      </c>
      <c r="N79" s="18">
        <f t="shared" si="138"/>
        <v>823.18834239203989</v>
      </c>
      <c r="O79" s="51">
        <v>1</v>
      </c>
      <c r="P79" s="19">
        <f t="shared" si="139"/>
        <v>219.30379300252864</v>
      </c>
      <c r="Q79" s="19">
        <f>P79*1000/$X$12</f>
        <v>208.86075524050347</v>
      </c>
      <c r="R79" s="18">
        <f t="shared" si="141"/>
        <v>286.43760718697621</v>
      </c>
      <c r="S79" s="18">
        <f t="shared" si="142"/>
        <v>243.47196610892976</v>
      </c>
      <c r="T79" s="16" t="s">
        <v>39</v>
      </c>
    </row>
    <row r="80" spans="2:43" x14ac:dyDescent="0.25">
      <c r="B80" s="54" t="s">
        <v>150</v>
      </c>
      <c r="C80" s="18">
        <v>1.8</v>
      </c>
      <c r="D80" s="19">
        <f t="shared" si="131"/>
        <v>4.2699999999999996</v>
      </c>
      <c r="E80" s="19">
        <f t="shared" ref="E80" si="146">((C80*D80)/($X$10/2))*(60/(2*PI()))</f>
        <v>7.4893768934957601</v>
      </c>
      <c r="F80" s="19">
        <f t="shared" si="132"/>
        <v>494.29887497072014</v>
      </c>
      <c r="G80" s="18">
        <f t="shared" si="144"/>
        <v>375</v>
      </c>
      <c r="H80" s="5">
        <f t="shared" ref="H80" si="147">IF(G80&gt;=F80,1, 2)</f>
        <v>2</v>
      </c>
      <c r="I80" s="50">
        <f>IF(H80=1,(F80*1000)/($Y$5*$X$5),$X$8)</f>
        <v>1500</v>
      </c>
      <c r="J80" s="19">
        <f t="shared" si="135"/>
        <v>200.283684655087</v>
      </c>
      <c r="K80" s="18">
        <f t="shared" ref="K80" si="148">(I80*$X$42/1000-$X$16)*$Y$42</f>
        <v>375</v>
      </c>
      <c r="L80" s="19">
        <f>(((F80-K80)+$X$15)*1000/$I$4)/$Y$6</f>
        <v>79.532583313813419</v>
      </c>
      <c r="M80" s="18">
        <f>$Y$6*I80*L80/1000</f>
        <v>119.29887497072014</v>
      </c>
      <c r="N80" s="18">
        <f t="shared" ref="N80" si="149">SUM(K80,M80)</f>
        <v>494.29887497072014</v>
      </c>
      <c r="O80" s="51">
        <v>2</v>
      </c>
      <c r="P80" s="19">
        <f t="shared" si="139"/>
        <v>700.76675707328718</v>
      </c>
      <c r="Q80" s="19">
        <f>P80*1000/$X$12</f>
        <v>667.39691149836869</v>
      </c>
      <c r="R80" s="18">
        <f t="shared" si="141"/>
        <v>549.60135661890661</v>
      </c>
      <c r="S80" s="18">
        <f t="shared" ref="S80" si="150">R80*0.85</f>
        <v>467.16115312607059</v>
      </c>
      <c r="T80" s="16" t="s">
        <v>39</v>
      </c>
    </row>
    <row r="81" spans="2:20" x14ac:dyDescent="0.25">
      <c r="B81" s="54" t="s">
        <v>150</v>
      </c>
      <c r="C81" s="18">
        <v>2</v>
      </c>
      <c r="D81" s="19">
        <f t="shared" si="131"/>
        <v>3.66</v>
      </c>
      <c r="E81" s="19">
        <f t="shared" si="143"/>
        <v>7.1327398985673911</v>
      </c>
      <c r="F81" s="19">
        <f t="shared" si="132"/>
        <v>470.76083330544782</v>
      </c>
      <c r="G81" s="18">
        <f t="shared" si="144"/>
        <v>375</v>
      </c>
      <c r="H81" s="5">
        <f t="shared" si="133"/>
        <v>2</v>
      </c>
      <c r="I81" s="50">
        <f>IF(H81=1,(F81*1000)/($Y$5*$X$5),$X$8)</f>
        <v>1500</v>
      </c>
      <c r="J81" s="19">
        <f t="shared" si="135"/>
        <v>210.29786888784136</v>
      </c>
      <c r="K81" s="18">
        <f t="shared" si="145"/>
        <v>375</v>
      </c>
      <c r="L81" s="19">
        <f>(((F81-K81)+$X$15)*1000/$I$4)/$Y$6</f>
        <v>63.840555536965212</v>
      </c>
      <c r="M81" s="18">
        <f>$Y$6*I81*L81/1000</f>
        <v>95.760833305447818</v>
      </c>
      <c r="N81" s="18">
        <f t="shared" si="138"/>
        <v>470.76083330544782</v>
      </c>
      <c r="O81" s="51">
        <v>1</v>
      </c>
      <c r="P81" s="19">
        <f t="shared" si="139"/>
        <v>367.78541758642524</v>
      </c>
      <c r="Q81" s="19">
        <f>P81*1000/$X$12</f>
        <v>350.27182627278597</v>
      </c>
      <c r="R81" s="18">
        <f t="shared" si="141"/>
        <v>274.71318946251353</v>
      </c>
      <c r="S81" s="18">
        <f t="shared" si="142"/>
        <v>233.50621104313649</v>
      </c>
      <c r="T81" s="16" t="s">
        <v>39</v>
      </c>
    </row>
    <row r="82" spans="2:20" x14ac:dyDescent="0.25">
      <c r="B82" s="54" t="s">
        <v>151</v>
      </c>
      <c r="C82" s="18">
        <v>2.2000000000000002</v>
      </c>
      <c r="D82" s="19">
        <f t="shared" si="131"/>
        <v>3.2549999999999999</v>
      </c>
      <c r="E82" s="19">
        <f>((C82*D82)/($X$10/2))*(60/(2*PI()))</f>
        <v>6.9778074335575262</v>
      </c>
      <c r="F82" s="19">
        <f t="shared" si="132"/>
        <v>460.53529061479674</v>
      </c>
      <c r="G82" s="18">
        <f>($X$42*$Y$42)*$X$8/1000</f>
        <v>375</v>
      </c>
      <c r="H82" s="5">
        <f t="shared" si="133"/>
        <v>2</v>
      </c>
      <c r="I82" s="50">
        <f t="shared" ref="I82:I83" si="151">IF(H82=1,(F82*1000)/($Y$5*$X$5),$X$8)</f>
        <v>1500</v>
      </c>
      <c r="J82" s="19">
        <f t="shared" si="135"/>
        <v>214.96723924856843</v>
      </c>
      <c r="K82" s="18">
        <f>(I82*$X$42/1000-$X$16)*$Y$42</f>
        <v>375</v>
      </c>
      <c r="L82" s="19">
        <f t="shared" ref="L82:L83" si="152">(((F82-K82)+$X$15)*1000/$I$4)/$Y$6</f>
        <v>57.023527076531153</v>
      </c>
      <c r="M82" s="18">
        <f t="shared" ref="M82:M83" si="153">$Y$6*I82*L82/1000</f>
        <v>85.535290614796736</v>
      </c>
      <c r="N82" s="18">
        <f t="shared" si="138"/>
        <v>460.53529061479674</v>
      </c>
      <c r="O82" s="51">
        <v>1</v>
      </c>
      <c r="P82" s="19">
        <f t="shared" si="139"/>
        <v>375.24853374945883</v>
      </c>
      <c r="Q82" s="19">
        <f t="shared" ref="Q82:Q83" si="154">P82*1000/$X$12</f>
        <v>357.37955595186554</v>
      </c>
      <c r="R82" s="18">
        <f t="shared" si="141"/>
        <v>274.19946430406884</v>
      </c>
      <c r="S82" s="18">
        <f t="shared" si="142"/>
        <v>233.06954465845851</v>
      </c>
      <c r="T82" s="16" t="s">
        <v>39</v>
      </c>
    </row>
    <row r="83" spans="2:20" x14ac:dyDescent="0.25">
      <c r="B83" s="54" t="s">
        <v>152</v>
      </c>
      <c r="C83" s="18">
        <v>2.2999999999999998</v>
      </c>
      <c r="D83" s="19">
        <f t="shared" si="131"/>
        <v>3.09</v>
      </c>
      <c r="E83" s="19">
        <f t="shared" ref="E83" si="155">((C83*D83)/($X$10/2))*(60/(2*PI()))</f>
        <v>6.9251888605353065</v>
      </c>
      <c r="F83" s="19">
        <f t="shared" si="132"/>
        <v>457.06246479533024</v>
      </c>
      <c r="G83" s="18">
        <f t="shared" si="144"/>
        <v>375</v>
      </c>
      <c r="H83" s="5">
        <f t="shared" si="133"/>
        <v>2</v>
      </c>
      <c r="I83" s="50">
        <f t="shared" si="151"/>
        <v>1500</v>
      </c>
      <c r="J83" s="19">
        <f t="shared" si="135"/>
        <v>216.60059100309536</v>
      </c>
      <c r="K83" s="18">
        <f t="shared" ref="K83" si="156">(I83*$X$42/1000-$X$16)*$Y$42</f>
        <v>375</v>
      </c>
      <c r="L83" s="19">
        <f t="shared" si="152"/>
        <v>54.708309863553502</v>
      </c>
      <c r="M83" s="18">
        <f t="shared" si="153"/>
        <v>82.062464795330243</v>
      </c>
      <c r="N83" s="18">
        <f t="shared" si="138"/>
        <v>457.06246479533024</v>
      </c>
      <c r="O83" s="51">
        <v>1</v>
      </c>
      <c r="P83" s="19">
        <f t="shared" si="139"/>
        <v>378.54407374602465</v>
      </c>
      <c r="Q83" s="19">
        <f t="shared" si="154"/>
        <v>360.51816547240441</v>
      </c>
      <c r="R83" s="18">
        <f t="shared" si="141"/>
        <v>274.52170735846903</v>
      </c>
      <c r="S83" s="18">
        <f t="shared" si="142"/>
        <v>233.34345125469866</v>
      </c>
      <c r="T83" s="16" t="s">
        <v>39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workbookViewId="0">
      <selection activeCell="H15" sqref="H15"/>
    </sheetView>
  </sheetViews>
  <sheetFormatPr defaultRowHeight="15" x14ac:dyDescent="0.25"/>
  <cols>
    <col min="1" max="1" width="8.85546875" customWidth="1"/>
    <col min="5" max="5" width="9.5703125" bestFit="1" customWidth="1"/>
  </cols>
  <sheetData>
    <row r="1" spans="1:5" x14ac:dyDescent="0.25">
      <c r="A1" s="12" t="s">
        <v>106</v>
      </c>
      <c r="B1" s="12" t="s">
        <v>107</v>
      </c>
      <c r="C1" s="12" t="s">
        <v>108</v>
      </c>
      <c r="D1" s="12" t="s">
        <v>109</v>
      </c>
    </row>
    <row r="2" spans="1:5" s="2" customFormat="1" x14ac:dyDescent="0.25">
      <c r="A2" s="12" t="s">
        <v>111</v>
      </c>
      <c r="B2" s="12" t="s">
        <v>57</v>
      </c>
      <c r="C2" s="12" t="s">
        <v>57</v>
      </c>
      <c r="D2" s="12" t="s">
        <v>110</v>
      </c>
    </row>
    <row r="3" spans="1:5" x14ac:dyDescent="0.25">
      <c r="A3" s="12">
        <v>6</v>
      </c>
      <c r="B3" s="12">
        <v>0</v>
      </c>
      <c r="C3" s="12">
        <v>2.4</v>
      </c>
      <c r="D3" s="12">
        <f>(C3-B3)/A3</f>
        <v>0.39999999999999997</v>
      </c>
      <c r="E3" s="20"/>
    </row>
    <row r="4" spans="1:5" x14ac:dyDescent="0.25">
      <c r="A4" s="12">
        <v>3</v>
      </c>
      <c r="B4" s="12">
        <v>0.8</v>
      </c>
      <c r="C4" s="12">
        <v>1.8</v>
      </c>
      <c r="D4" s="15">
        <f>(C4-B4)/A4</f>
        <v>0.33333333333333331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>
      <selection activeCell="A2" sqref="A2:C11"/>
    </sheetView>
  </sheetViews>
  <sheetFormatPr defaultRowHeight="15" x14ac:dyDescent="0.25"/>
  <cols>
    <col min="1" max="1" width="19.28515625" bestFit="1" customWidth="1"/>
    <col min="2" max="2" width="26.28515625" customWidth="1"/>
    <col min="3" max="3" width="30.42578125" customWidth="1"/>
  </cols>
  <sheetData>
    <row r="1" spans="1:3" x14ac:dyDescent="0.25">
      <c r="A1" t="s">
        <v>3</v>
      </c>
    </row>
    <row r="2" spans="1:3" x14ac:dyDescent="0.25">
      <c r="A2" s="16" t="s">
        <v>3</v>
      </c>
      <c r="B2" s="16" t="s">
        <v>4</v>
      </c>
      <c r="C2" s="16" t="s">
        <v>1</v>
      </c>
    </row>
    <row r="3" spans="1:3" x14ac:dyDescent="0.25">
      <c r="A3" s="16" t="s">
        <v>40</v>
      </c>
      <c r="B3" s="16"/>
      <c r="C3" s="16"/>
    </row>
    <row r="4" spans="1:3" x14ac:dyDescent="0.25">
      <c r="A4" s="16" t="s">
        <v>42</v>
      </c>
      <c r="B4" s="16"/>
      <c r="C4" s="16"/>
    </row>
    <row r="5" spans="1:3" x14ac:dyDescent="0.25">
      <c r="A5" s="16" t="s">
        <v>125</v>
      </c>
      <c r="B5" s="16"/>
      <c r="C5" s="16"/>
    </row>
    <row r="6" spans="1:3" x14ac:dyDescent="0.25">
      <c r="A6" s="16" t="s">
        <v>128</v>
      </c>
      <c r="B6" s="16"/>
      <c r="C6" s="16"/>
    </row>
    <row r="7" spans="1:3" x14ac:dyDescent="0.25">
      <c r="A7" s="16" t="s">
        <v>97</v>
      </c>
      <c r="B7" s="16"/>
      <c r="C7" s="16"/>
    </row>
    <row r="8" spans="1:3" x14ac:dyDescent="0.25">
      <c r="A8" s="16" t="s">
        <v>126</v>
      </c>
      <c r="B8" s="16"/>
      <c r="C8" s="16"/>
    </row>
    <row r="9" spans="1:3" x14ac:dyDescent="0.25">
      <c r="A9" s="16" t="s">
        <v>46</v>
      </c>
      <c r="B9" s="16"/>
      <c r="C9" s="16"/>
    </row>
    <row r="10" spans="1:3" x14ac:dyDescent="0.25">
      <c r="A10" s="16" t="s">
        <v>127</v>
      </c>
      <c r="B10" s="16"/>
      <c r="C10" s="16"/>
    </row>
    <row r="11" spans="1:3" x14ac:dyDescent="0.25">
      <c r="A11" s="16" t="s">
        <v>129</v>
      </c>
      <c r="B11" s="16"/>
      <c r="C11" s="1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250kW Drivetrain Test Cases</vt:lpstr>
      <vt:lpstr>Flow Ramp Rates</vt:lpstr>
      <vt:lpstr>Sensor List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Henry Swales</dc:creator>
  <cp:lastModifiedBy>TMayer</cp:lastModifiedBy>
  <dcterms:created xsi:type="dcterms:W3CDTF">2013-02-19T23:13:43Z</dcterms:created>
  <dcterms:modified xsi:type="dcterms:W3CDTF">2014-07-16T01:41:39Z</dcterms:modified>
</cp:coreProperties>
</file>