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Aquantis\Drivetrain\Bearings\"/>
    </mc:Choice>
  </mc:AlternateContent>
  <bookViews>
    <workbookView xWindow="120" yWindow="270" windowWidth="21075" windowHeight="8070"/>
  </bookViews>
  <sheets>
    <sheet name="27.2m Calcs" sheetId="18" r:id="rId1"/>
    <sheet name="Scaled 27.2m Loads" sheetId="19" r:id="rId2"/>
    <sheet name="27.2m Histogram" sheetId="20" r:id="rId3"/>
    <sheet name="UHMWPE Data" sheetId="2" r:id="rId4"/>
    <sheet name="Duramax Data" sheetId="5" r:id="rId5"/>
    <sheet name="Diagrams" sheetId="4" r:id="rId6"/>
  </sheets>
  <calcPr calcId="152511"/>
</workbook>
</file>

<file path=xl/calcChain.xml><?xml version="1.0" encoding="utf-8"?>
<calcChain xmlns="http://schemas.openxmlformats.org/spreadsheetml/2006/main">
  <c r="D11" i="18" l="1"/>
  <c r="D3" i="18"/>
  <c r="H5" i="18" s="1"/>
  <c r="C5" i="18"/>
  <c r="D10" i="18"/>
  <c r="C7" i="18" s="1"/>
  <c r="H47" i="18" s="1"/>
  <c r="E5" i="20"/>
  <c r="E6" i="20"/>
  <c r="E7" i="20"/>
  <c r="E8" i="20"/>
  <c r="E9" i="20"/>
  <c r="E10" i="20"/>
  <c r="E11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4" i="20"/>
  <c r="F4" i="20"/>
  <c r="C30" i="20"/>
  <c r="G4" i="20"/>
  <c r="F5" i="20"/>
  <c r="G5" i="20"/>
  <c r="F6" i="20"/>
  <c r="G6" i="20"/>
  <c r="F7" i="20"/>
  <c r="G7" i="20"/>
  <c r="F8" i="20"/>
  <c r="G8" i="20"/>
  <c r="F9" i="20"/>
  <c r="G9" i="20"/>
  <c r="F10" i="20"/>
  <c r="G10" i="20"/>
  <c r="F11" i="20"/>
  <c r="G11" i="20"/>
  <c r="F12" i="20"/>
  <c r="G12" i="20"/>
  <c r="F13" i="20"/>
  <c r="G13" i="20"/>
  <c r="F14" i="20"/>
  <c r="G14" i="20"/>
  <c r="F15" i="20"/>
  <c r="G15" i="20"/>
  <c r="F16" i="20"/>
  <c r="G16" i="20"/>
  <c r="F17" i="20"/>
  <c r="G17" i="20"/>
  <c r="F18" i="20"/>
  <c r="G18" i="20"/>
  <c r="F19" i="20"/>
  <c r="G19" i="20"/>
  <c r="F20" i="20"/>
  <c r="G20" i="20"/>
  <c r="F21" i="20"/>
  <c r="G21" i="20"/>
  <c r="F22" i="20"/>
  <c r="G22" i="20"/>
  <c r="F23" i="20"/>
  <c r="G23" i="20"/>
  <c r="F24" i="20"/>
  <c r="G24" i="20"/>
  <c r="F25" i="20"/>
  <c r="G25" i="20"/>
  <c r="F26" i="20"/>
  <c r="G26" i="20"/>
  <c r="F27" i="20"/>
  <c r="G27" i="20"/>
  <c r="F28" i="20"/>
  <c r="G28" i="20"/>
  <c r="F29" i="20"/>
  <c r="G29" i="20"/>
  <c r="G30" i="20"/>
  <c r="D20" i="20"/>
  <c r="D21" i="20"/>
  <c r="D22" i="20"/>
  <c r="D23" i="20"/>
  <c r="D24" i="20"/>
  <c r="D25" i="20"/>
  <c r="D26" i="20"/>
  <c r="D27" i="20"/>
  <c r="D28" i="20"/>
  <c r="D29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D6" i="20"/>
  <c r="D5" i="20"/>
  <c r="D4" i="20"/>
  <c r="F21" i="19"/>
  <c r="F20" i="19"/>
  <c r="F18" i="19"/>
  <c r="F17" i="19"/>
  <c r="F6" i="19"/>
  <c r="F5" i="19"/>
  <c r="H49" i="18"/>
  <c r="H13" i="18"/>
  <c r="H54" i="18" s="1"/>
  <c r="H53" i="18"/>
  <c r="H52" i="18"/>
  <c r="D13" i="18"/>
  <c r="D4" i="18"/>
  <c r="H34" i="18"/>
  <c r="H36" i="18" s="1"/>
  <c r="H29" i="18"/>
  <c r="H30" i="18" s="1"/>
  <c r="H32" i="18"/>
  <c r="H33" i="18"/>
  <c r="H26" i="18"/>
  <c r="H6" i="18"/>
  <c r="D5" i="18" l="1"/>
  <c r="D8" i="18" s="1"/>
  <c r="H24" i="18" s="1"/>
  <c r="D7" i="18"/>
  <c r="H4" i="18" s="1"/>
  <c r="H17" i="18" s="1"/>
  <c r="H37" i="18"/>
  <c r="H40" i="18"/>
  <c r="H14" i="18"/>
  <c r="H16" i="18" s="1"/>
  <c r="H48" i="18"/>
  <c r="H55" i="18" s="1"/>
  <c r="H56" i="18" s="1"/>
  <c r="H60" i="18" s="1"/>
  <c r="L10" i="18" s="1"/>
  <c r="H10" i="18"/>
  <c r="H20" i="18"/>
  <c r="L9" i="18" s="1"/>
  <c r="L11" i="18" l="1"/>
  <c r="H43" i="18"/>
  <c r="H39" i="18"/>
  <c r="H38" i="18"/>
  <c r="H57" i="18"/>
  <c r="H19" i="18"/>
  <c r="H18" i="18"/>
  <c r="L4" i="18" s="1"/>
  <c r="M4" i="18" s="1"/>
  <c r="H58" i="18" l="1"/>
  <c r="H59" i="18"/>
  <c r="L6" i="18"/>
  <c r="M6" i="18" s="1"/>
  <c r="J38" i="18"/>
  <c r="L5" i="18" l="1"/>
  <c r="M5" i="18" s="1"/>
</calcChain>
</file>

<file path=xl/sharedStrings.xml><?xml version="1.0" encoding="utf-8"?>
<sst xmlns="http://schemas.openxmlformats.org/spreadsheetml/2006/main" count="277" uniqueCount="126">
  <si>
    <t>m</t>
  </si>
  <si>
    <t>m^2</t>
  </si>
  <si>
    <t>Value</t>
  </si>
  <si>
    <t>Units</t>
  </si>
  <si>
    <t>Thrust Bearing</t>
  </si>
  <si>
    <t>Radial Bearing</t>
  </si>
  <si>
    <t>Torque loss at max pressure:</t>
  </si>
  <si>
    <t>Mpa</t>
  </si>
  <si>
    <t>Pressure (P)</t>
  </si>
  <si>
    <t>Circumference</t>
  </si>
  <si>
    <t xml:space="preserve"> (1/MPa)</t>
  </si>
  <si>
    <t>mu (~ 0.03 - 0.07)</t>
  </si>
  <si>
    <t>Length (L)</t>
  </si>
  <si>
    <t>*</t>
  </si>
  <si>
    <t>Normal Force (Fn)</t>
  </si>
  <si>
    <t>Number of Revolutions (N)</t>
  </si>
  <si>
    <t>Wear Rate (K)</t>
  </si>
  <si>
    <t>Volume Loss due to Wear (V)</t>
  </si>
  <si>
    <t>Total Distance Over Life (d)</t>
  </si>
  <si>
    <t>#</t>
  </si>
  <si>
    <t>m^3</t>
  </si>
  <si>
    <t>Depth of Wear (h)</t>
  </si>
  <si>
    <t>Load</t>
  </si>
  <si>
    <t>Condition</t>
  </si>
  <si>
    <t>Hub Height Flow Speed</t>
  </si>
  <si>
    <t>Notes</t>
  </si>
  <si>
    <t>Rotor Thrust Force</t>
  </si>
  <si>
    <t xml:space="preserve">9/3 O'Clock (Operational) </t>
  </si>
  <si>
    <t>Wake Deficit Included</t>
  </si>
  <si>
    <t>Relatively small</t>
  </si>
  <si>
    <t xml:space="preserve">9/3 O'Clock (Extreme) </t>
  </si>
  <si>
    <t xml:space="preserve">12/6 O'Clock (Operational) </t>
  </si>
  <si>
    <t>Uniform Flow - No Shear</t>
  </si>
  <si>
    <t>kN</t>
  </si>
  <si>
    <t xml:space="preserve">12/6 O'Clock (Extreme) </t>
  </si>
  <si>
    <t>Rotor Y Force</t>
  </si>
  <si>
    <t>Due to Wake Deficit, Cone</t>
  </si>
  <si>
    <t>Due to Shear, Cone</t>
  </si>
  <si>
    <t>Rotor Z Force</t>
  </si>
  <si>
    <t>Smaller than Y Force</t>
  </si>
  <si>
    <t>Any</t>
  </si>
  <si>
    <t>Wet Weight</t>
  </si>
  <si>
    <t>Dry Weight</t>
  </si>
  <si>
    <t>Hub Moment</t>
  </si>
  <si>
    <t>Due to Wake Deficit</t>
  </si>
  <si>
    <t>kN*m</t>
  </si>
  <si>
    <t>Due to Shear</t>
  </si>
  <si>
    <t>Blade Root Bending Moment</t>
  </si>
  <si>
    <t>12 O'Clock (Operational)</t>
  </si>
  <si>
    <t>12 O'Clock (Extreme)</t>
  </si>
  <si>
    <t xml:space="preserve">9 O'Clock Operational </t>
  </si>
  <si>
    <t>Freestream</t>
  </si>
  <si>
    <t xml:space="preserve">9 O'Clock Extreme </t>
  </si>
  <si>
    <t>6 O'Clock (Operational)</t>
  </si>
  <si>
    <t>6 O'Clock (Extreme)</t>
  </si>
  <si>
    <t>3 O'Clock Wake Deficit (Operational)</t>
  </si>
  <si>
    <t>30% Reduction</t>
  </si>
  <si>
    <t>3 O'Clock Wake Deficit (Extreme)</t>
  </si>
  <si>
    <t>Assumptions:</t>
  </si>
  <si>
    <t>Thrust Bearing 'Total Distance Over Life' based on Average Radius</t>
  </si>
  <si>
    <t>Inner Diameter (ID)</t>
  </si>
  <si>
    <t>Outer Diameter (OD)</t>
  </si>
  <si>
    <t>Maintenance Interval</t>
  </si>
  <si>
    <t>Design Rotor Speed</t>
  </si>
  <si>
    <t>RPM</t>
  </si>
  <si>
    <t>Yrs</t>
  </si>
  <si>
    <t>Thrust Bearing 'Torque Loss' based on Average Radius</t>
  </si>
  <si>
    <t>Total Area</t>
  </si>
  <si>
    <t>UHMWPE</t>
  </si>
  <si>
    <t>THRUST BEARING WEAR</t>
  </si>
  <si>
    <t>Pressure (Rotor Moment)</t>
  </si>
  <si>
    <t>Pressure (Rotor Thrust, Rotor Weight)</t>
  </si>
  <si>
    <t xml:space="preserve">Inner Diameter (ID) </t>
  </si>
  <si>
    <r>
      <t>•</t>
    </r>
    <r>
      <rPr>
        <b/>
        <sz val="20"/>
        <color rgb="FF336699"/>
        <rFont val="Calibri"/>
        <family val="2"/>
        <scheme val="minor"/>
      </rPr>
      <t>Design for Aquantis:</t>
    </r>
  </si>
  <si>
    <r>
      <t>•</t>
    </r>
    <r>
      <rPr>
        <b/>
        <sz val="11"/>
        <color rgb="FF336699"/>
        <rFont val="Calibri"/>
        <family val="2"/>
        <scheme val="minor"/>
      </rPr>
      <t>Maximum thrust: 1,341,061 N (301,604 lb</t>
    </r>
    <r>
      <rPr>
        <b/>
        <vertAlign val="subscript"/>
        <sz val="11"/>
        <color rgb="FF336699"/>
        <rFont val="Calibri"/>
        <family val="2"/>
        <scheme val="minor"/>
      </rPr>
      <t>f</t>
    </r>
    <r>
      <rPr>
        <b/>
        <sz val="11"/>
        <color rgb="FF336699"/>
        <rFont val="Calibri"/>
        <family val="2"/>
        <scheme val="minor"/>
      </rPr>
      <t>)</t>
    </r>
  </si>
  <si>
    <r>
      <t>•</t>
    </r>
    <r>
      <rPr>
        <b/>
        <sz val="11"/>
        <color rgb="FF336699"/>
        <rFont val="Calibri"/>
        <family val="2"/>
        <scheme val="minor"/>
      </rPr>
      <t>Maximum radial load: 578,269 N per bearing</t>
    </r>
  </si>
  <si>
    <r>
      <t>•</t>
    </r>
    <r>
      <rPr>
        <b/>
        <sz val="11"/>
        <color rgb="FF336699"/>
        <rFont val="Calibri"/>
        <family val="2"/>
        <scheme val="minor"/>
      </rPr>
      <t>Predicted wear of 0.025 mm (0.001”) per 1,000 hours of operation</t>
    </r>
  </si>
  <si>
    <r>
      <t>•</t>
    </r>
    <r>
      <rPr>
        <b/>
        <sz val="20"/>
        <color rgb="FF336699"/>
        <rFont val="Calibri"/>
        <family val="2"/>
        <scheme val="minor"/>
      </rPr>
      <t>Suggested design improvements:</t>
    </r>
  </si>
  <si>
    <r>
      <t>•</t>
    </r>
    <r>
      <rPr>
        <b/>
        <sz val="11"/>
        <color rgb="FF336699"/>
        <rFont val="Calibri"/>
        <family val="2"/>
        <scheme val="minor"/>
      </rPr>
      <t>Add water-flow inlet holes in the rotor hub and, possibly, an inlet scoop</t>
    </r>
  </si>
  <si>
    <r>
      <t>•</t>
    </r>
    <r>
      <rPr>
        <b/>
        <sz val="16"/>
        <color rgb="FF336699"/>
        <rFont val="Calibri"/>
        <family val="2"/>
        <scheme val="minor"/>
      </rPr>
      <t>Improves water flow to bearings</t>
    </r>
  </si>
  <si>
    <r>
      <t>•</t>
    </r>
    <r>
      <rPr>
        <b/>
        <sz val="11"/>
        <color rgb="FF336699"/>
        <rFont val="Calibri"/>
        <family val="2"/>
        <scheme val="minor"/>
      </rPr>
      <t>Increase bore size of the aft radial thrust runner to 1,702 mm (67”) to reduce material cost of runner (</t>
    </r>
    <r>
      <rPr>
        <b/>
        <i/>
        <sz val="11"/>
        <color rgb="FF336699"/>
        <rFont val="Calibri"/>
        <family val="2"/>
        <scheme val="minor"/>
      </rPr>
      <t>i.e.</t>
    </r>
    <r>
      <rPr>
        <b/>
        <sz val="11"/>
        <color rgb="FF336699"/>
        <rFont val="Calibri"/>
        <family val="2"/>
        <scheme val="minor"/>
      </rPr>
      <t>, a thinner wall)</t>
    </r>
  </si>
  <si>
    <r>
      <t>•</t>
    </r>
    <r>
      <rPr>
        <b/>
        <sz val="11"/>
        <color rgb="FF336699"/>
        <rFont val="Calibri"/>
        <family val="2"/>
        <scheme val="minor"/>
      </rPr>
      <t>Use composite bearing housings</t>
    </r>
  </si>
  <si>
    <r>
      <t>•</t>
    </r>
    <r>
      <rPr>
        <b/>
        <sz val="16"/>
        <color rgb="FF336699"/>
        <rFont val="Calibri"/>
        <family val="2"/>
        <scheme val="minor"/>
      </rPr>
      <t>Reduces weight and, possibly, material costs</t>
    </r>
  </si>
  <si>
    <r>
      <t>•</t>
    </r>
    <r>
      <rPr>
        <b/>
        <sz val="11"/>
        <color rgb="FF336699"/>
        <rFont val="Calibri"/>
        <family val="2"/>
        <scheme val="minor"/>
      </rPr>
      <t>Bolt thrust pad fixture directly to the rotor hub</t>
    </r>
  </si>
  <si>
    <r>
      <t>•</t>
    </r>
    <r>
      <rPr>
        <b/>
        <sz val="16"/>
        <color rgb="FF336699"/>
        <rFont val="Calibri"/>
        <family val="2"/>
        <scheme val="minor"/>
      </rPr>
      <t>Eliminate vertical flange on the bearing housings</t>
    </r>
  </si>
  <si>
    <r>
      <t>•</t>
    </r>
    <r>
      <rPr>
        <b/>
        <sz val="11"/>
        <color rgb="FF336699"/>
        <rFont val="Calibri"/>
        <family val="2"/>
        <scheme val="minor"/>
      </rPr>
      <t>Possibly minimize the size of the thrust bearing at the opposite end at which the thrust load is applied</t>
    </r>
  </si>
  <si>
    <r>
      <t>•</t>
    </r>
    <r>
      <rPr>
        <b/>
        <sz val="11"/>
        <color rgb="FF336699"/>
        <rFont val="Calibri"/>
        <family val="2"/>
        <scheme val="minor"/>
      </rPr>
      <t>Use a bearing sufficient for rotor positioning and possible dynamic events</t>
    </r>
  </si>
  <si>
    <t>Max Moment</t>
  </si>
  <si>
    <t>Resolved Forces</t>
  </si>
  <si>
    <t>mm</t>
  </si>
  <si>
    <t>Duty Cycle</t>
  </si>
  <si>
    <t>Weight</t>
  </si>
  <si>
    <t>Thrust</t>
  </si>
  <si>
    <t>Total Depth of Wear (Weight + Moment)</t>
  </si>
  <si>
    <t>C*40deg/360deg</t>
  </si>
  <si>
    <t>kNm</t>
  </si>
  <si>
    <t>m/s</t>
  </si>
  <si>
    <t>Linear Surface Speed</t>
  </si>
  <si>
    <t>Total Loaded Distance Over Life (d)</t>
  </si>
  <si>
    <t>Load Zone</t>
  </si>
  <si>
    <t>degress</t>
  </si>
  <si>
    <t>Weight Depth of Wear (h)</t>
  </si>
  <si>
    <t>Moment Depth of Wear (h)</t>
  </si>
  <si>
    <t>Bearing Area Factor</t>
  </si>
  <si>
    <t>V</t>
  </si>
  <si>
    <t>V-Bar
56.4m</t>
  </si>
  <si>
    <t>(m/s)</t>
  </si>
  <si>
    <t>Hours per year</t>
  </si>
  <si>
    <t>kW</t>
  </si>
  <si>
    <t>Weighted Average</t>
  </si>
  <si>
    <t>Load Factor</t>
  </si>
  <si>
    <t>Thrust Load</t>
  </si>
  <si>
    <t>Power Output</t>
  </si>
  <si>
    <t>Thrust Bearing OD or Radial Bearing Total Length</t>
  </si>
  <si>
    <t>Bearing Spread (D)</t>
  </si>
  <si>
    <t>Bearing Length (L)</t>
  </si>
  <si>
    <t>RADIAL BEARING WEAR DUE TO MOMENT</t>
  </si>
  <si>
    <t>RADIAL BEARING WEAR DUE TO WEIGHT</t>
  </si>
  <si>
    <t xml:space="preserve">TOTAL RADIAL BEARING WEAR </t>
  </si>
  <si>
    <t>Torque Loss Due Rotor Weight</t>
  </si>
  <si>
    <t>Torque Loss Due Rotor Thrust</t>
  </si>
  <si>
    <t>Torque Loss Due Rotor Moment</t>
  </si>
  <si>
    <t>Wear Depth Due Rotor Weight</t>
  </si>
  <si>
    <t>Wear Depth Due Rotor Thrust</t>
  </si>
  <si>
    <t>Wear Depth Due Rotor Moment</t>
  </si>
  <si>
    <t>% of Rated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</si>
</sst>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7" formatCode="0.0%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20"/>
      <color rgb="FF336699"/>
      <name val="Arial"/>
      <family val="2"/>
    </font>
    <font>
      <b/>
      <sz val="20"/>
      <color rgb="FF336699"/>
      <name val="Calibri"/>
      <family val="2"/>
      <scheme val="minor"/>
    </font>
    <font>
      <sz val="11"/>
      <color rgb="FF336699"/>
      <name val="Arial"/>
      <family val="2"/>
    </font>
    <font>
      <b/>
      <sz val="11"/>
      <color rgb="FF336699"/>
      <name val="Calibri"/>
      <family val="2"/>
      <scheme val="minor"/>
    </font>
    <font>
      <b/>
      <vertAlign val="subscript"/>
      <sz val="11"/>
      <color rgb="FF336699"/>
      <name val="Calibri"/>
      <family val="2"/>
      <scheme val="minor"/>
    </font>
    <font>
      <sz val="16"/>
      <color rgb="FF336699"/>
      <name val="Arial"/>
      <family val="2"/>
    </font>
    <font>
      <b/>
      <sz val="16"/>
      <color rgb="FF336699"/>
      <name val="Calibri"/>
      <family val="2"/>
      <scheme val="minor"/>
    </font>
    <font>
      <b/>
      <i/>
      <sz val="11"/>
      <color rgb="FF336699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7F7F7F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2" fontId="0" fillId="0" borderId="0" xfId="0" applyNumberFormat="1"/>
    <xf numFmtId="2" fontId="16" fillId="0" borderId="0" xfId="0" applyNumberFormat="1" applyFont="1"/>
    <xf numFmtId="2" fontId="0" fillId="0" borderId="10" xfId="0" applyNumberFormat="1" applyBorder="1"/>
    <xf numFmtId="2" fontId="11" fillId="6" borderId="4" xfId="11" applyNumberFormat="1"/>
    <xf numFmtId="1" fontId="11" fillId="6" borderId="11" xfId="11" applyNumberFormat="1" applyBorder="1"/>
    <xf numFmtId="2" fontId="11" fillId="6" borderId="11" xfId="11" applyNumberFormat="1" applyBorder="1"/>
    <xf numFmtId="11" fontId="9" fillId="5" borderId="11" xfId="9" applyNumberFormat="1" applyBorder="1"/>
    <xf numFmtId="0" fontId="16" fillId="0" borderId="10" xfId="0" applyFont="1" applyBorder="1"/>
    <xf numFmtId="2" fontId="9" fillId="5" borderId="11" xfId="9" applyNumberFormat="1" applyBorder="1"/>
    <xf numFmtId="164" fontId="0" fillId="33" borderId="10" xfId="0" applyNumberFormat="1" applyFill="1" applyBorder="1" applyAlignment="1">
      <alignment horizontal="center" vertical="center"/>
    </xf>
    <xf numFmtId="0" fontId="0" fillId="0" borderId="10" xfId="0" applyBorder="1"/>
    <xf numFmtId="16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8" fillId="0" borderId="0" xfId="0" applyFont="1" applyFill="1" applyBorder="1"/>
    <xf numFmtId="0" fontId="20" fillId="0" borderId="0" xfId="0" applyFont="1"/>
    <xf numFmtId="0" fontId="0" fillId="0" borderId="0" xfId="0" applyFont="1" applyFill="1" applyBorder="1"/>
    <xf numFmtId="0" fontId="21" fillId="0" borderId="0" xfId="0" applyFont="1"/>
    <xf numFmtId="2" fontId="21" fillId="0" borderId="0" xfId="0" applyNumberFormat="1" applyFont="1"/>
    <xf numFmtId="165" fontId="11" fillId="6" borderId="4" xfId="11" applyNumberFormat="1"/>
    <xf numFmtId="0" fontId="0" fillId="0" borderId="0" xfId="0"/>
    <xf numFmtId="0" fontId="16" fillId="0" borderId="0" xfId="0" applyFont="1"/>
    <xf numFmtId="0" fontId="18" fillId="0" borderId="0" xfId="0" applyFont="1"/>
    <xf numFmtId="0" fontId="18" fillId="0" borderId="0" xfId="0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0" fontId="16" fillId="0" borderId="12" xfId="0" applyFont="1" applyBorder="1"/>
    <xf numFmtId="0" fontId="19" fillId="34" borderId="14" xfId="0" applyFont="1" applyFill="1" applyBorder="1"/>
    <xf numFmtId="0" fontId="16" fillId="35" borderId="13" xfId="0" applyFont="1" applyFill="1" applyBorder="1"/>
    <xf numFmtId="0" fontId="16" fillId="36" borderId="13" xfId="0" applyFont="1" applyFill="1" applyBorder="1"/>
    <xf numFmtId="1" fontId="0" fillId="0" borderId="10" xfId="0" applyNumberFormat="1" applyBorder="1"/>
    <xf numFmtId="1" fontId="0" fillId="0" borderId="0" xfId="0" applyNumberFormat="1"/>
    <xf numFmtId="165" fontId="11" fillId="6" borderId="11" xfId="11" applyNumberFormat="1" applyBorder="1"/>
    <xf numFmtId="164" fontId="11" fillId="6" borderId="11" xfId="11" applyNumberFormat="1" applyBorder="1"/>
    <xf numFmtId="0" fontId="22" fillId="0" borderId="0" xfId="0" applyFont="1" applyAlignment="1">
      <alignment horizontal="left" vertical="center" indent="4" readingOrder="1"/>
    </xf>
    <xf numFmtId="0" fontId="24" fillId="0" borderId="0" xfId="0" applyFont="1" applyAlignment="1">
      <alignment horizontal="left" vertical="center" indent="9" readingOrder="1"/>
    </xf>
    <xf numFmtId="0" fontId="27" fillId="0" borderId="0" xfId="0" applyFont="1" applyAlignment="1">
      <alignment horizontal="left" vertical="center" indent="14" readingOrder="1"/>
    </xf>
    <xf numFmtId="0" fontId="24" fillId="0" borderId="0" xfId="0" applyFont="1" applyAlignment="1">
      <alignment horizontal="left" vertical="center" indent="14" readingOrder="1"/>
    </xf>
    <xf numFmtId="164" fontId="0" fillId="0" borderId="10" xfId="0" applyNumberFormat="1" applyFill="1" applyBorder="1" applyAlignment="1">
      <alignment horizontal="center" vertical="center"/>
    </xf>
    <xf numFmtId="0" fontId="16" fillId="0" borderId="0" xfId="0" applyFont="1" applyBorder="1"/>
    <xf numFmtId="0" fontId="0" fillId="0" borderId="0" xfId="0" applyBorder="1"/>
    <xf numFmtId="0" fontId="16" fillId="0" borderId="12" xfId="0" applyFont="1" applyFill="1" applyBorder="1"/>
    <xf numFmtId="165" fontId="11" fillId="6" borderId="15" xfId="11" applyNumberFormat="1" applyBorder="1"/>
    <xf numFmtId="2" fontId="16" fillId="0" borderId="0" xfId="0" applyNumberFormat="1" applyFont="1" applyFill="1" applyBorder="1"/>
    <xf numFmtId="9" fontId="0" fillId="0" borderId="0" xfId="42" applyFont="1"/>
    <xf numFmtId="3" fontId="11" fillId="6" borderId="11" xfId="11" applyNumberFormat="1" applyBorder="1"/>
    <xf numFmtId="2" fontId="0" fillId="0" borderId="17" xfId="0" applyNumberFormat="1" applyBorder="1"/>
    <xf numFmtId="165" fontId="9" fillId="5" borderId="16" xfId="9" applyNumberFormat="1" applyBorder="1"/>
    <xf numFmtId="165" fontId="11" fillId="6" borderId="16" xfId="11" applyNumberFormat="1" applyBorder="1"/>
    <xf numFmtId="9" fontId="9" fillId="5" borderId="16" xfId="42" applyFont="1" applyFill="1" applyBorder="1"/>
    <xf numFmtId="165" fontId="9" fillId="5" borderId="16" xfId="42" applyNumberFormat="1" applyFont="1" applyFill="1" applyBorder="1"/>
    <xf numFmtId="1" fontId="11" fillId="6" borderId="4" xfId="11" applyNumberFormat="1"/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16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7" fontId="0" fillId="0" borderId="0" xfId="42" applyNumberFormat="1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5" Type="http://schemas.openxmlformats.org/officeDocument/2006/relationships/image" Target="../media/image8.png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142876</xdr:colOff>
      <xdr:row>16</xdr:row>
      <xdr:rowOff>95249</xdr:rowOff>
    </xdr:from>
    <xdr:to>
      <xdr:col>4</xdr:col>
      <xdr:colOff>573907</xdr:colOff>
      <xdr:row>34</xdr:row>
      <xdr:rowOff>28574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6" y="3162299"/>
          <a:ext cx="5450706" cy="33813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476250</xdr:colOff>
      <xdr:row>28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0500"/>
          <a:ext cx="7181850" cy="52768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51436</xdr:colOff>
      <xdr:row>1</xdr:row>
      <xdr:rowOff>7620</xdr:rowOff>
    </xdr:from>
    <xdr:to>
      <xdr:col>24</xdr:col>
      <xdr:colOff>426508</xdr:colOff>
      <xdr:row>28</xdr:row>
      <xdr:rowOff>140970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6236" y="190500"/>
          <a:ext cx="7080672" cy="507111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1</xdr:row>
      <xdr:rowOff>95250</xdr:rowOff>
    </xdr:from>
    <xdr:to>
      <xdr:col>9</xdr:col>
      <xdr:colOff>581025</xdr:colOff>
      <xdr:row>18</xdr:row>
      <xdr:rowOff>66675</xdr:rowOff>
    </xdr:to>
    <xdr:pic>
      <xdr:nvPicPr>
        <xdr:cNvPr id="2" name="Picture 2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285750"/>
          <a:ext cx="5629275" cy="32099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400050</xdr:colOff>
      <xdr:row>1</xdr:row>
      <xdr:rowOff>104775</xdr:rowOff>
    </xdr:from>
    <xdr:to>
      <xdr:col>15</xdr:col>
      <xdr:colOff>200025</xdr:colOff>
      <xdr:row>14</xdr:row>
      <xdr:rowOff>161925</xdr:rowOff>
    </xdr:to>
    <xdr:pic>
      <xdr:nvPicPr>
        <xdr:cNvPr id="3" name="Picture 3" descr="image00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0" y="295275"/>
          <a:ext cx="2847975" cy="25336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114300</xdr:colOff>
      <xdr:row>21</xdr:row>
      <xdr:rowOff>161925</xdr:rowOff>
    </xdr:from>
    <xdr:to>
      <xdr:col>23</xdr:col>
      <xdr:colOff>314325</xdr:colOff>
      <xdr:row>38</xdr:row>
      <xdr:rowOff>9525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4162425"/>
          <a:ext cx="3248025" cy="30861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189380</xdr:colOff>
      <xdr:row>22</xdr:row>
      <xdr:rowOff>28575</xdr:rowOff>
    </xdr:from>
    <xdr:to>
      <xdr:col>17</xdr:col>
      <xdr:colOff>19050</xdr:colOff>
      <xdr:row>41</xdr:row>
      <xdr:rowOff>96115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5780" y="4219575"/>
          <a:ext cx="4706470" cy="368704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571500</xdr:colOff>
      <xdr:row>22</xdr:row>
      <xdr:rowOff>36846</xdr:rowOff>
    </xdr:from>
    <xdr:to>
      <xdr:col>8</xdr:col>
      <xdr:colOff>257175</xdr:colOff>
      <xdr:row>37</xdr:row>
      <xdr:rowOff>125944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4227846"/>
          <a:ext cx="4562475" cy="294659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104775</xdr:colOff>
      <xdr:row>19</xdr:row>
      <xdr:rowOff>157698</xdr:rowOff>
    </xdr:from>
    <xdr:to>
      <xdr:col>7</xdr:col>
      <xdr:colOff>493564</xdr:colOff>
      <xdr:row>21</xdr:row>
      <xdr:rowOff>90630</xdr:rowOff>
    </xdr:to>
    <xdr:sp macro="" textlink="">
      <xdr:nvSpPr>
        <xdr:cNvPr id="7" name="テキスト ボックス 45"/>
        <xdr:cNvSpPr txBox="1"/>
      </xdr:nvSpPr>
      <xdr:spPr>
        <a:xfrm>
          <a:off x="714375" y="3777198"/>
          <a:ext cx="4046389" cy="313932"/>
        </a:xfrm>
        <a:prstGeom prst="rect">
          <a:avLst/>
        </a:prstGeom>
        <a:solidFill>
          <a:schemeClr val="accent3">
            <a:lumMod val="95000"/>
          </a:schemeClr>
        </a:solidFill>
        <a:ln>
          <a:solidFill>
            <a:schemeClr val="accent1"/>
          </a:solidFill>
        </a:ln>
      </xdr:spPr>
      <xdr:txBody>
        <a:bodyPr wrap="square" rtlCol="0">
          <a:spAutoFit/>
        </a:bodyPr>
        <a:lstStyle>
          <a:defPPr>
            <a:defRPr lang="ja-JP"/>
          </a:defPPr>
          <a:lvl1pPr algn="l" defTabSz="457200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+mn-cs"/>
            </a:defRPr>
          </a:lvl1pPr>
          <a:lvl2pPr marL="457200" algn="l" defTabSz="457200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+mn-cs"/>
            </a:defRPr>
          </a:lvl2pPr>
          <a:lvl3pPr marL="914400" algn="l" defTabSz="457200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+mn-cs"/>
            </a:defRPr>
          </a:lvl3pPr>
          <a:lvl4pPr marL="1371600" algn="l" defTabSz="457200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+mn-cs"/>
            </a:defRPr>
          </a:lvl4pPr>
          <a:lvl5pPr marL="1828800" algn="l" defTabSz="457200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+mn-cs"/>
            </a:defRPr>
          </a:lvl9pPr>
        </a:lstStyle>
        <a:p>
          <a:pPr algn="ctr" defTabSz="914400">
            <a:lnSpc>
              <a:spcPct val="90000"/>
            </a:lnSpc>
            <a:spcBef>
              <a:spcPct val="20000"/>
            </a:spcBef>
            <a:buFont typeface="Arial" pitchFamily="34" charset="0"/>
            <a:buNone/>
          </a:pPr>
          <a:r>
            <a:rPr lang="en-US" altLang="ja-JP" sz="1600">
              <a:solidFill>
                <a:srgbClr val="000000"/>
              </a:solidFill>
              <a:latin typeface="Arial Narrow" pitchFamily="34" charset="0"/>
            </a:rPr>
            <a:t>2 Blade – 1MW - Overhung</a:t>
          </a:r>
          <a:endParaRPr lang="en-US" altLang="ja-JP" sz="1600">
            <a:solidFill>
              <a:srgbClr val="FF0000"/>
            </a:solidFill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14720</xdr:colOff>
      <xdr:row>19</xdr:row>
      <xdr:rowOff>161925</xdr:rowOff>
    </xdr:from>
    <xdr:to>
      <xdr:col>16</xdr:col>
      <xdr:colOff>403509</xdr:colOff>
      <xdr:row>21</xdr:row>
      <xdr:rowOff>94857</xdr:rowOff>
    </xdr:to>
    <xdr:sp macro="" textlink="">
      <xdr:nvSpPr>
        <xdr:cNvPr id="8" name="テキスト ボックス 45"/>
        <xdr:cNvSpPr txBox="1"/>
      </xdr:nvSpPr>
      <xdr:spPr>
        <a:xfrm>
          <a:off x="6110720" y="3781425"/>
          <a:ext cx="4046389" cy="313932"/>
        </a:xfrm>
        <a:prstGeom prst="rect">
          <a:avLst/>
        </a:prstGeom>
        <a:solidFill>
          <a:schemeClr val="accent3">
            <a:lumMod val="95000"/>
          </a:schemeClr>
        </a:solidFill>
        <a:ln>
          <a:solidFill>
            <a:schemeClr val="accent1"/>
          </a:solidFill>
        </a:ln>
      </xdr:spPr>
      <xdr:txBody>
        <a:bodyPr wrap="square" rtlCol="0">
          <a:spAutoFit/>
        </a:bodyPr>
        <a:lstStyle>
          <a:defPPr>
            <a:defRPr lang="ja-JP"/>
          </a:defPPr>
          <a:lvl1pPr algn="l" defTabSz="457200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+mn-cs"/>
            </a:defRPr>
          </a:lvl1pPr>
          <a:lvl2pPr marL="457200" algn="l" defTabSz="457200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+mn-cs"/>
            </a:defRPr>
          </a:lvl2pPr>
          <a:lvl3pPr marL="914400" algn="l" defTabSz="457200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+mn-cs"/>
            </a:defRPr>
          </a:lvl3pPr>
          <a:lvl4pPr marL="1371600" algn="l" defTabSz="457200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+mn-cs"/>
            </a:defRPr>
          </a:lvl4pPr>
          <a:lvl5pPr marL="1828800" algn="l" defTabSz="457200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+mn-cs"/>
            </a:defRPr>
          </a:lvl9pPr>
        </a:lstStyle>
        <a:p>
          <a:pPr algn="ctr" defTabSz="914400">
            <a:lnSpc>
              <a:spcPct val="90000"/>
            </a:lnSpc>
            <a:spcBef>
              <a:spcPct val="20000"/>
            </a:spcBef>
            <a:buFont typeface="Arial" pitchFamily="34" charset="0"/>
            <a:buNone/>
          </a:pPr>
          <a:r>
            <a:rPr lang="en-US" altLang="ja-JP" sz="1600">
              <a:solidFill>
                <a:srgbClr val="000000"/>
              </a:solidFill>
              <a:latin typeface="Arial Narrow" pitchFamily="34" charset="0"/>
            </a:rPr>
            <a:t>2 or 3 Blade – 1.2 MW</a:t>
          </a:r>
          <a:endParaRPr lang="en-US" altLang="ja-JP" sz="1600">
            <a:solidFill>
              <a:srgbClr val="FF0000"/>
            </a:solidFill>
            <a:latin typeface="Arial Narrow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6"/>
  <sheetViews>
    <sheetView tabSelected="1" workbookViewId="0">
      <selection activeCell="L21" sqref="L21"/>
    </sheetView>
  </sheetViews>
  <sheetFormatPr defaultRowHeight="15" x14ac:dyDescent="0.25"/>
  <cols>
    <col min="1" max="1" width="2.85546875" style="20" customWidth="1"/>
    <col min="2" max="2" width="43.85546875" style="20" bestFit="1" customWidth="1"/>
    <col min="3" max="3" width="17.7109375" style="20" bestFit="1" customWidth="1"/>
    <col min="4" max="4" width="13.7109375" style="1" bestFit="1" customWidth="1"/>
    <col min="5" max="5" width="11.28515625" style="20" bestFit="1" customWidth="1"/>
    <col min="6" max="6" width="5.42578125" style="20" customWidth="1"/>
    <col min="7" max="7" width="44.28515625" style="20" customWidth="1"/>
    <col min="8" max="8" width="14.140625" style="20" bestFit="1" customWidth="1"/>
    <col min="9" max="9" width="11.28515625" style="20" bestFit="1" customWidth="1"/>
    <col min="10" max="10" width="14.7109375" style="20" bestFit="1" customWidth="1"/>
    <col min="11" max="11" width="29.42578125" style="20" bestFit="1" customWidth="1"/>
    <col min="12" max="12" width="9.140625" style="20"/>
    <col min="13" max="13" width="10.42578125" style="20" bestFit="1" customWidth="1"/>
    <col min="14" max="16384" width="9.140625" style="20"/>
  </cols>
  <sheetData>
    <row r="1" spans="2:13" ht="15.75" thickBot="1" x14ac:dyDescent="0.3"/>
    <row r="2" spans="2:13" s="21" customFormat="1" x14ac:dyDescent="0.25">
      <c r="C2" s="21" t="s">
        <v>4</v>
      </c>
      <c r="D2" s="2" t="s">
        <v>5</v>
      </c>
      <c r="E2" s="21" t="s">
        <v>3</v>
      </c>
      <c r="G2" s="27" t="s">
        <v>117</v>
      </c>
    </row>
    <row r="3" spans="2:13" s="1" customFormat="1" ht="15.75" thickBot="1" x14ac:dyDescent="0.3">
      <c r="B3" s="2" t="s">
        <v>60</v>
      </c>
      <c r="C3" s="46">
        <v>1.8</v>
      </c>
      <c r="D3" s="47">
        <f>C3</f>
        <v>1.8</v>
      </c>
      <c r="E3" s="45" t="s">
        <v>0</v>
      </c>
      <c r="G3" s="26" t="s">
        <v>68</v>
      </c>
      <c r="I3" s="20"/>
      <c r="J3" s="21"/>
      <c r="L3" s="55" t="s">
        <v>95</v>
      </c>
      <c r="M3" s="55" t="s">
        <v>125</v>
      </c>
    </row>
    <row r="4" spans="2:13" s="1" customFormat="1" x14ac:dyDescent="0.25">
      <c r="B4" s="2" t="s">
        <v>113</v>
      </c>
      <c r="C4" s="46">
        <v>3</v>
      </c>
      <c r="D4" s="46">
        <f>2*D15</f>
        <v>0.9</v>
      </c>
      <c r="E4" s="45" t="s">
        <v>0</v>
      </c>
      <c r="G4" s="25" t="s">
        <v>8</v>
      </c>
      <c r="H4" s="4">
        <f>D7</f>
        <v>0.19117283950617284</v>
      </c>
      <c r="I4" s="11" t="s">
        <v>7</v>
      </c>
      <c r="K4" s="1" t="s">
        <v>119</v>
      </c>
      <c r="L4" s="1">
        <f>H18</f>
        <v>1.6723800000000002</v>
      </c>
      <c r="M4" s="56">
        <f>L4/550</f>
        <v>3.0406909090909093E-3</v>
      </c>
    </row>
    <row r="5" spans="2:13" s="1" customFormat="1" x14ac:dyDescent="0.25">
      <c r="B5" s="2" t="s">
        <v>67</v>
      </c>
      <c r="C5" s="47">
        <f>PI()*(C4/2)^2-PI()*(C3/2)^2</f>
        <v>4.5238934211693014</v>
      </c>
      <c r="D5" s="47">
        <f>D3*D4</f>
        <v>1.62</v>
      </c>
      <c r="E5" s="45" t="s">
        <v>1</v>
      </c>
      <c r="G5" s="8" t="s">
        <v>72</v>
      </c>
      <c r="H5" s="31">
        <f>D3</f>
        <v>1.8</v>
      </c>
      <c r="I5" s="11" t="s">
        <v>0</v>
      </c>
      <c r="K5" s="1" t="s">
        <v>120</v>
      </c>
      <c r="L5" s="1">
        <f>H58</f>
        <v>4.3004027158816802</v>
      </c>
      <c r="M5" s="56">
        <f t="shared" ref="M5:M6" si="0">L5/550</f>
        <v>7.8189140288757817E-3</v>
      </c>
    </row>
    <row r="6" spans="2:13" s="1" customFormat="1" x14ac:dyDescent="0.25">
      <c r="B6" s="42" t="s">
        <v>103</v>
      </c>
      <c r="C6" s="48">
        <v>0.8</v>
      </c>
      <c r="D6" s="48">
        <v>0.8</v>
      </c>
      <c r="E6" s="45"/>
      <c r="G6" s="8" t="s">
        <v>12</v>
      </c>
      <c r="H6" s="31">
        <f>D4</f>
        <v>0.9</v>
      </c>
      <c r="I6" s="11" t="s">
        <v>0</v>
      </c>
      <c r="K6" s="1" t="s">
        <v>121</v>
      </c>
      <c r="L6" s="1">
        <f>H38</f>
        <v>20.416049999999991</v>
      </c>
      <c r="M6" s="56">
        <f t="shared" si="0"/>
        <v>3.7120090909090894E-2</v>
      </c>
    </row>
    <row r="7" spans="2:13" s="1" customFormat="1" x14ac:dyDescent="0.25">
      <c r="B7" s="2" t="s">
        <v>71</v>
      </c>
      <c r="C7" s="19">
        <f>D10/(C5*1000*C6)</f>
        <v>0.13202745939783589</v>
      </c>
      <c r="D7" s="19">
        <f>D11/(D5*1000*D6)</f>
        <v>0.19117283950617284</v>
      </c>
      <c r="E7" s="3" t="s">
        <v>7</v>
      </c>
      <c r="G7" s="8" t="s">
        <v>16</v>
      </c>
      <c r="H7" s="7">
        <v>1.51E-10</v>
      </c>
      <c r="I7" s="11" t="s">
        <v>10</v>
      </c>
    </row>
    <row r="8" spans="2:13" x14ac:dyDescent="0.25">
      <c r="B8" s="2" t="s">
        <v>70</v>
      </c>
      <c r="C8" s="4"/>
      <c r="D8" s="19">
        <f>(D13/(D6*D5/2))/1000</f>
        <v>0.93749999999999978</v>
      </c>
      <c r="E8" s="3" t="s">
        <v>7</v>
      </c>
      <c r="G8" s="8" t="s">
        <v>11</v>
      </c>
      <c r="H8" s="9">
        <v>6.0000000000000001E-3</v>
      </c>
      <c r="I8" s="11" t="s">
        <v>13</v>
      </c>
      <c r="J8" s="1"/>
      <c r="L8" s="53" t="s">
        <v>89</v>
      </c>
    </row>
    <row r="9" spans="2:13" x14ac:dyDescent="0.25">
      <c r="D9" s="20"/>
      <c r="G9" s="8" t="s">
        <v>63</v>
      </c>
      <c r="H9" s="9">
        <v>9.1</v>
      </c>
      <c r="I9" s="11" t="s">
        <v>64</v>
      </c>
      <c r="J9" s="1"/>
      <c r="K9" s="1" t="s">
        <v>122</v>
      </c>
      <c r="L9" s="1">
        <f>H20</f>
        <v>0.73247178687729642</v>
      </c>
      <c r="M9" s="1"/>
    </row>
    <row r="10" spans="2:13" x14ac:dyDescent="0.25">
      <c r="C10" s="21" t="s">
        <v>92</v>
      </c>
      <c r="D10" s="50">
        <f>'27.2m Histogram'!G30</f>
        <v>477.82252398685353</v>
      </c>
      <c r="E10" s="3" t="s">
        <v>33</v>
      </c>
      <c r="G10" s="8" t="s">
        <v>97</v>
      </c>
      <c r="H10" s="6">
        <f>PI()*H5*H9/60</f>
        <v>0.85765479443001347</v>
      </c>
      <c r="I10" s="11" t="s">
        <v>96</v>
      </c>
      <c r="J10" s="1"/>
      <c r="K10" s="1" t="s">
        <v>123</v>
      </c>
      <c r="L10" s="1">
        <f>H60</f>
        <v>2.6979115332299068</v>
      </c>
      <c r="M10" s="1"/>
    </row>
    <row r="11" spans="2:13" x14ac:dyDescent="0.25">
      <c r="C11" s="21" t="s">
        <v>91</v>
      </c>
      <c r="D11" s="50">
        <f>'Scaled 27.2m Loads'!F17</f>
        <v>247.76</v>
      </c>
      <c r="E11" s="3" t="s">
        <v>33</v>
      </c>
      <c r="G11" s="8" t="s">
        <v>62</v>
      </c>
      <c r="H11" s="9">
        <v>5</v>
      </c>
      <c r="I11" s="11" t="s">
        <v>65</v>
      </c>
      <c r="K11" s="1" t="s">
        <v>124</v>
      </c>
      <c r="L11" s="1">
        <f>H40</f>
        <v>2.5188325896813701</v>
      </c>
      <c r="M11" s="1"/>
    </row>
    <row r="12" spans="2:13" x14ac:dyDescent="0.25">
      <c r="C12" s="21" t="s">
        <v>87</v>
      </c>
      <c r="D12" s="50">
        <v>1215</v>
      </c>
      <c r="E12" s="3" t="s">
        <v>95</v>
      </c>
      <c r="G12" s="8" t="s">
        <v>90</v>
      </c>
      <c r="H12" s="9">
        <v>0.75</v>
      </c>
      <c r="I12" s="11"/>
    </row>
    <row r="13" spans="2:13" x14ac:dyDescent="0.25">
      <c r="C13" s="21" t="s">
        <v>88</v>
      </c>
      <c r="D13" s="50">
        <f>(D12/2)/(D14/2)</f>
        <v>607.5</v>
      </c>
      <c r="E13" s="3" t="s">
        <v>33</v>
      </c>
      <c r="G13" s="8" t="s">
        <v>15</v>
      </c>
      <c r="H13" s="44">
        <f>H9*60*24*365.25*H11*H12</f>
        <v>17948385</v>
      </c>
      <c r="I13" s="11" t="s">
        <v>19</v>
      </c>
    </row>
    <row r="14" spans="2:13" x14ac:dyDescent="0.25">
      <c r="C14" s="21" t="s">
        <v>114</v>
      </c>
      <c r="D14" s="49">
        <v>2</v>
      </c>
      <c r="E14" s="3" t="s">
        <v>0</v>
      </c>
      <c r="G14" s="8" t="s">
        <v>9</v>
      </c>
      <c r="H14" s="6">
        <f>PI()*H5</f>
        <v>5.6548667764616276</v>
      </c>
      <c r="I14" s="11" t="s">
        <v>0</v>
      </c>
    </row>
    <row r="15" spans="2:13" x14ac:dyDescent="0.25">
      <c r="C15" s="2" t="s">
        <v>115</v>
      </c>
      <c r="D15" s="49">
        <v>0.45</v>
      </c>
      <c r="E15" s="3" t="s">
        <v>0</v>
      </c>
      <c r="G15" s="8" t="s">
        <v>99</v>
      </c>
      <c r="H15" s="6">
        <v>90</v>
      </c>
      <c r="I15" s="11" t="s">
        <v>100</v>
      </c>
    </row>
    <row r="16" spans="2:13" x14ac:dyDescent="0.25">
      <c r="G16" s="8" t="s">
        <v>98</v>
      </c>
      <c r="H16" s="5">
        <f>H14*H13*H15/360</f>
        <v>25373931.506910559</v>
      </c>
      <c r="I16" s="11" t="s">
        <v>0</v>
      </c>
    </row>
    <row r="17" spans="7:10" x14ac:dyDescent="0.25">
      <c r="G17" s="8" t="s">
        <v>14</v>
      </c>
      <c r="H17" s="32">
        <f>1000*H4*H5*H6</f>
        <v>309.7</v>
      </c>
      <c r="I17" s="11" t="s">
        <v>33</v>
      </c>
    </row>
    <row r="18" spans="7:10" x14ac:dyDescent="0.25">
      <c r="G18" s="8" t="s">
        <v>6</v>
      </c>
      <c r="H18" s="32">
        <f>H8*H17*(H5/2)</f>
        <v>1.6723800000000002</v>
      </c>
      <c r="I18" s="11" t="s">
        <v>95</v>
      </c>
      <c r="J18" s="56"/>
    </row>
    <row r="19" spans="7:10" x14ac:dyDescent="0.25">
      <c r="G19" s="8" t="s">
        <v>17</v>
      </c>
      <c r="H19" s="6">
        <f>H7*H17*H16/1000</f>
        <v>1.1866042947412201E-3</v>
      </c>
      <c r="I19" s="11" t="s">
        <v>20</v>
      </c>
    </row>
    <row r="20" spans="7:10" x14ac:dyDescent="0.25">
      <c r="G20" s="8" t="s">
        <v>101</v>
      </c>
      <c r="H20" s="31">
        <f>H7*H4*H16*1000</f>
        <v>0.73247178687729642</v>
      </c>
      <c r="I20" s="11" t="s">
        <v>89</v>
      </c>
      <c r="J20" s="21"/>
    </row>
    <row r="21" spans="7:10" ht="15.75" thickBot="1" x14ac:dyDescent="0.3">
      <c r="G21" s="38"/>
      <c r="H21" s="39"/>
      <c r="I21" s="39"/>
      <c r="J21" s="15"/>
    </row>
    <row r="22" spans="7:10" x14ac:dyDescent="0.25">
      <c r="G22" s="27" t="s">
        <v>116</v>
      </c>
      <c r="H22" s="21"/>
      <c r="I22" s="21"/>
      <c r="J22" s="1"/>
    </row>
    <row r="23" spans="7:10" ht="15.75" thickBot="1" x14ac:dyDescent="0.3">
      <c r="G23" s="26" t="s">
        <v>68</v>
      </c>
      <c r="H23" s="1"/>
      <c r="J23" s="1"/>
    </row>
    <row r="24" spans="7:10" x14ac:dyDescent="0.25">
      <c r="G24" s="25" t="s">
        <v>8</v>
      </c>
      <c r="H24" s="4">
        <f>D8</f>
        <v>0.93749999999999978</v>
      </c>
      <c r="I24" s="11" t="s">
        <v>7</v>
      </c>
      <c r="J24" s="1"/>
    </row>
    <row r="25" spans="7:10" x14ac:dyDescent="0.25">
      <c r="G25" s="8" t="s">
        <v>72</v>
      </c>
      <c r="H25" s="31">
        <v>2.84</v>
      </c>
      <c r="I25" s="11" t="s">
        <v>0</v>
      </c>
      <c r="J25" s="1"/>
    </row>
    <row r="26" spans="7:10" x14ac:dyDescent="0.25">
      <c r="G26" s="8" t="s">
        <v>12</v>
      </c>
      <c r="H26" s="31">
        <f>D4</f>
        <v>0.9</v>
      </c>
      <c r="I26" s="11" t="s">
        <v>0</v>
      </c>
      <c r="J26" s="1"/>
    </row>
    <row r="27" spans="7:10" x14ac:dyDescent="0.25">
      <c r="G27" s="8" t="s">
        <v>16</v>
      </c>
      <c r="H27" s="7">
        <v>1.51E-10</v>
      </c>
      <c r="I27" s="11" t="s">
        <v>10</v>
      </c>
      <c r="J27" s="1"/>
    </row>
    <row r="28" spans="7:10" x14ac:dyDescent="0.25">
      <c r="G28" s="8" t="s">
        <v>11</v>
      </c>
      <c r="H28" s="6">
        <v>6.0000000000000001E-3</v>
      </c>
      <c r="I28" s="11" t="s">
        <v>13</v>
      </c>
      <c r="J28" s="1"/>
    </row>
    <row r="29" spans="7:10" x14ac:dyDescent="0.25">
      <c r="G29" s="8" t="s">
        <v>63</v>
      </c>
      <c r="H29" s="6">
        <f>H9</f>
        <v>9.1</v>
      </c>
      <c r="I29" s="11" t="s">
        <v>64</v>
      </c>
      <c r="J29" s="30"/>
    </row>
    <row r="30" spans="7:10" x14ac:dyDescent="0.25">
      <c r="G30" s="8" t="s">
        <v>97</v>
      </c>
      <c r="H30" s="6">
        <f>PI()*H25*H29/60</f>
        <v>1.3531886756562435</v>
      </c>
      <c r="I30" s="11" t="s">
        <v>96</v>
      </c>
    </row>
    <row r="31" spans="7:10" x14ac:dyDescent="0.25">
      <c r="G31" s="8" t="s">
        <v>62</v>
      </c>
      <c r="H31" s="6">
        <v>5</v>
      </c>
      <c r="I31" s="11" t="s">
        <v>65</v>
      </c>
    </row>
    <row r="32" spans="7:10" x14ac:dyDescent="0.25">
      <c r="G32" s="8" t="s">
        <v>90</v>
      </c>
      <c r="H32" s="6">
        <f>H12</f>
        <v>0.75</v>
      </c>
      <c r="I32" s="11"/>
    </row>
    <row r="33" spans="7:10" x14ac:dyDescent="0.25">
      <c r="G33" s="8" t="s">
        <v>15</v>
      </c>
      <c r="H33" s="44">
        <f>H29*60*24*365.25*H31*H32</f>
        <v>17948385</v>
      </c>
      <c r="I33" s="11" t="s">
        <v>19</v>
      </c>
    </row>
    <row r="34" spans="7:10" x14ac:dyDescent="0.25">
      <c r="G34" s="8" t="s">
        <v>9</v>
      </c>
      <c r="H34" s="6">
        <f>PI()*H25</f>
        <v>8.9221231361950117</v>
      </c>
      <c r="I34" s="11" t="s">
        <v>0</v>
      </c>
      <c r="J34" s="20" t="s">
        <v>94</v>
      </c>
    </row>
    <row r="35" spans="7:10" x14ac:dyDescent="0.25">
      <c r="G35" s="8" t="s">
        <v>99</v>
      </c>
      <c r="H35" s="6">
        <v>40</v>
      </c>
      <c r="I35" s="11" t="s">
        <v>100</v>
      </c>
    </row>
    <row r="36" spans="7:10" x14ac:dyDescent="0.25">
      <c r="G36" s="8" t="s">
        <v>98</v>
      </c>
      <c r="H36" s="44">
        <f>H34*H33*H35/360</f>
        <v>17793077.896203943</v>
      </c>
      <c r="I36" s="11" t="s">
        <v>0</v>
      </c>
    </row>
    <row r="37" spans="7:10" x14ac:dyDescent="0.25">
      <c r="G37" s="8" t="s">
        <v>14</v>
      </c>
      <c r="H37" s="32">
        <f>1000*H24*H25*H26</f>
        <v>2396.2499999999991</v>
      </c>
      <c r="I37" s="11" t="s">
        <v>33</v>
      </c>
    </row>
    <row r="38" spans="7:10" x14ac:dyDescent="0.25">
      <c r="G38" s="8" t="s">
        <v>6</v>
      </c>
      <c r="H38" s="32">
        <f>H28*H37*(H25/2)</f>
        <v>20.416049999999991</v>
      </c>
      <c r="I38" s="11" t="s">
        <v>95</v>
      </c>
      <c r="J38" s="56">
        <f>H38/550</f>
        <v>3.7120090909090894E-2</v>
      </c>
    </row>
    <row r="39" spans="7:10" x14ac:dyDescent="0.25">
      <c r="G39" s="8" t="s">
        <v>17</v>
      </c>
      <c r="H39" s="6">
        <f>H27*H37*H36/1000</f>
        <v>6.4381360992255806E-3</v>
      </c>
      <c r="I39" s="11" t="s">
        <v>20</v>
      </c>
    </row>
    <row r="40" spans="7:10" x14ac:dyDescent="0.25">
      <c r="G40" s="8" t="s">
        <v>102</v>
      </c>
      <c r="H40" s="31">
        <f>H27*H24*H36*1000</f>
        <v>2.5188325896813701</v>
      </c>
      <c r="I40" s="11" t="s">
        <v>89</v>
      </c>
    </row>
    <row r="41" spans="7:10" ht="15.75" thickBot="1" x14ac:dyDescent="0.3"/>
    <row r="42" spans="7:10" x14ac:dyDescent="0.25">
      <c r="G42" s="27" t="s">
        <v>118</v>
      </c>
      <c r="H42" s="21"/>
      <c r="I42" s="21"/>
    </row>
    <row r="43" spans="7:10" x14ac:dyDescent="0.25">
      <c r="G43" s="40" t="s">
        <v>93</v>
      </c>
      <c r="H43" s="41">
        <f>H40+H20</f>
        <v>3.2513043765586667</v>
      </c>
      <c r="I43" s="11" t="s">
        <v>89</v>
      </c>
    </row>
    <row r="44" spans="7:10" ht="15.75" thickBot="1" x14ac:dyDescent="0.3"/>
    <row r="45" spans="7:10" x14ac:dyDescent="0.25">
      <c r="G45" s="28" t="s">
        <v>69</v>
      </c>
      <c r="H45" s="21"/>
      <c r="I45" s="21"/>
    </row>
    <row r="46" spans="7:10" ht="15.75" thickBot="1" x14ac:dyDescent="0.3">
      <c r="G46" s="26" t="s">
        <v>68</v>
      </c>
      <c r="H46" s="18"/>
      <c r="I46" s="17"/>
    </row>
    <row r="47" spans="7:10" x14ac:dyDescent="0.25">
      <c r="G47" s="25" t="s">
        <v>8</v>
      </c>
      <c r="H47" s="4">
        <f>C7</f>
        <v>0.13202745939783589</v>
      </c>
      <c r="I47" s="11" t="s">
        <v>7</v>
      </c>
    </row>
    <row r="48" spans="7:10" x14ac:dyDescent="0.25">
      <c r="G48" s="8" t="s">
        <v>60</v>
      </c>
      <c r="H48" s="19">
        <f>H5</f>
        <v>1.8</v>
      </c>
      <c r="I48" s="11" t="s">
        <v>0</v>
      </c>
    </row>
    <row r="49" spans="7:10" x14ac:dyDescent="0.25">
      <c r="G49" s="8" t="s">
        <v>61</v>
      </c>
      <c r="H49" s="19">
        <f>C4</f>
        <v>3</v>
      </c>
      <c r="I49" s="11" t="s">
        <v>0</v>
      </c>
    </row>
    <row r="50" spans="7:10" x14ac:dyDescent="0.25">
      <c r="G50" s="8" t="s">
        <v>16</v>
      </c>
      <c r="H50" s="7">
        <v>1.51E-10</v>
      </c>
      <c r="I50" s="11" t="s">
        <v>10</v>
      </c>
    </row>
    <row r="51" spans="7:10" x14ac:dyDescent="0.25">
      <c r="G51" s="8" t="s">
        <v>11</v>
      </c>
      <c r="H51" s="4">
        <v>6.0000000000000001E-3</v>
      </c>
      <c r="I51" s="3" t="s">
        <v>13</v>
      </c>
    </row>
    <row r="52" spans="7:10" x14ac:dyDescent="0.25">
      <c r="G52" s="8" t="s">
        <v>63</v>
      </c>
      <c r="H52" s="4">
        <f>H9</f>
        <v>9.1</v>
      </c>
      <c r="I52" s="3" t="s">
        <v>64</v>
      </c>
    </row>
    <row r="53" spans="7:10" x14ac:dyDescent="0.25">
      <c r="G53" s="8" t="s">
        <v>62</v>
      </c>
      <c r="H53" s="4">
        <f>H11</f>
        <v>5</v>
      </c>
      <c r="I53" s="3" t="s">
        <v>65</v>
      </c>
    </row>
    <row r="54" spans="7:10" x14ac:dyDescent="0.25">
      <c r="G54" s="8" t="s">
        <v>15</v>
      </c>
      <c r="H54" s="44">
        <f t="shared" ref="H54" si="1">H13</f>
        <v>17948385</v>
      </c>
      <c r="I54" s="29" t="s">
        <v>19</v>
      </c>
    </row>
    <row r="55" spans="7:10" x14ac:dyDescent="0.25">
      <c r="G55" s="8" t="s">
        <v>9</v>
      </c>
      <c r="H55" s="6">
        <f>AVERAGE((PI()*H48), (PI()*H49))</f>
        <v>7.5398223686155035</v>
      </c>
      <c r="I55" s="11" t="s">
        <v>0</v>
      </c>
    </row>
    <row r="56" spans="7:10" x14ac:dyDescent="0.25">
      <c r="G56" s="8" t="s">
        <v>18</v>
      </c>
      <c r="H56" s="44">
        <f>H55*H54</f>
        <v>135327634.70352298</v>
      </c>
      <c r="I56" s="11" t="s">
        <v>0</v>
      </c>
    </row>
    <row r="57" spans="7:10" x14ac:dyDescent="0.25">
      <c r="G57" s="8" t="s">
        <v>14</v>
      </c>
      <c r="H57" s="32">
        <f>1000*H47*((PI()*(H49/2)^2)-(PI()*(H48/2)^2))</f>
        <v>597.27815498356676</v>
      </c>
      <c r="I57" s="11" t="s">
        <v>33</v>
      </c>
    </row>
    <row r="58" spans="7:10" x14ac:dyDescent="0.25">
      <c r="G58" s="8" t="s">
        <v>6</v>
      </c>
      <c r="H58" s="32">
        <f>H51*H57*AVERAGE((H48/2),(H49/2))</f>
        <v>4.3004027158816802</v>
      </c>
      <c r="I58" s="11" t="s">
        <v>95</v>
      </c>
      <c r="J58" s="56"/>
    </row>
    <row r="59" spans="7:10" x14ac:dyDescent="0.25">
      <c r="G59" s="8" t="s">
        <v>17</v>
      </c>
      <c r="H59" s="6">
        <f>H50*H57*H56/1000</f>
        <v>1.2205064236075558E-2</v>
      </c>
      <c r="I59" s="11" t="s">
        <v>20</v>
      </c>
    </row>
    <row r="60" spans="7:10" x14ac:dyDescent="0.25">
      <c r="G60" s="8" t="s">
        <v>21</v>
      </c>
      <c r="H60" s="31">
        <f>H50*H47*H56*1000</f>
        <v>2.6979115332299068</v>
      </c>
      <c r="I60" s="11" t="s">
        <v>89</v>
      </c>
    </row>
    <row r="62" spans="7:10" x14ac:dyDescent="0.25">
      <c r="G62" s="14" t="s">
        <v>58</v>
      </c>
    </row>
    <row r="63" spans="7:10" x14ac:dyDescent="0.25">
      <c r="G63" s="16" t="s">
        <v>59</v>
      </c>
    </row>
    <row r="64" spans="7:10" x14ac:dyDescent="0.25">
      <c r="G64" s="16" t="s">
        <v>66</v>
      </c>
    </row>
    <row r="65" spans="7:7" x14ac:dyDescent="0.25">
      <c r="G65" s="16"/>
    </row>
    <row r="66" spans="7:7" x14ac:dyDescent="0.25">
      <c r="G66" s="14"/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2"/>
  <sheetViews>
    <sheetView workbookViewId="0">
      <selection activeCell="F17" sqref="F17"/>
    </sheetView>
  </sheetViews>
  <sheetFormatPr defaultRowHeight="15" x14ac:dyDescent="0.25"/>
  <cols>
    <col min="1" max="1" width="9.140625" style="20"/>
    <col min="2" max="2" width="26.85546875" style="20" bestFit="1" customWidth="1"/>
    <col min="3" max="3" width="34" style="20" bestFit="1" customWidth="1"/>
    <col min="4" max="4" width="22" style="20" bestFit="1" customWidth="1"/>
    <col min="5" max="5" width="24.5703125" style="20" bestFit="1" customWidth="1"/>
    <col min="6" max="6" width="19.140625" style="20" bestFit="1" customWidth="1"/>
    <col min="7" max="7" width="6.140625" style="20" bestFit="1" customWidth="1"/>
    <col min="8" max="16384" width="9.140625" style="20"/>
  </cols>
  <sheetData>
    <row r="2" spans="2:8" x14ac:dyDescent="0.25">
      <c r="B2" s="22" t="s">
        <v>22</v>
      </c>
      <c r="C2" s="22" t="s">
        <v>23</v>
      </c>
      <c r="D2" s="23" t="s">
        <v>24</v>
      </c>
      <c r="E2" s="22" t="s">
        <v>25</v>
      </c>
      <c r="F2" s="24" t="s">
        <v>2</v>
      </c>
      <c r="G2" s="23" t="s">
        <v>3</v>
      </c>
    </row>
    <row r="3" spans="2:8" x14ac:dyDescent="0.25">
      <c r="B3" s="11" t="s">
        <v>26</v>
      </c>
      <c r="C3" s="11" t="s">
        <v>27</v>
      </c>
      <c r="D3" s="13">
        <v>1.6</v>
      </c>
      <c r="E3" s="11" t="s">
        <v>28</v>
      </c>
      <c r="F3" s="12" t="s">
        <v>29</v>
      </c>
      <c r="G3" s="11"/>
    </row>
    <row r="4" spans="2:8" x14ac:dyDescent="0.25">
      <c r="B4" s="11" t="s">
        <v>26</v>
      </c>
      <c r="C4" s="11" t="s">
        <v>30</v>
      </c>
      <c r="D4" s="13">
        <v>1.8</v>
      </c>
      <c r="E4" s="11" t="s">
        <v>28</v>
      </c>
      <c r="F4" s="12" t="s">
        <v>29</v>
      </c>
      <c r="G4" s="11"/>
    </row>
    <row r="5" spans="2:8" x14ac:dyDescent="0.25">
      <c r="B5" s="11" t="s">
        <v>26</v>
      </c>
      <c r="C5" s="11" t="s">
        <v>31</v>
      </c>
      <c r="D5" s="13">
        <v>1.6</v>
      </c>
      <c r="E5" s="11" t="s">
        <v>32</v>
      </c>
      <c r="F5" s="12">
        <f>(0.5*(1025.9)*PI()*((35/2)^2)*(D5^2)*0.771)/1000</f>
        <v>974.08161749953626</v>
      </c>
      <c r="G5" s="13" t="s">
        <v>33</v>
      </c>
    </row>
    <row r="6" spans="2:8" x14ac:dyDescent="0.25">
      <c r="B6" s="11" t="s">
        <v>26</v>
      </c>
      <c r="C6" s="11" t="s">
        <v>34</v>
      </c>
      <c r="D6" s="13">
        <v>1.8</v>
      </c>
      <c r="E6" s="11" t="s">
        <v>32</v>
      </c>
      <c r="F6" s="10">
        <f>(0.5*(1025.9)*PI()*((35/2)^2)*(D6^2)*0.771)/1000</f>
        <v>1232.8220471478505</v>
      </c>
      <c r="G6" s="13" t="s">
        <v>33</v>
      </c>
      <c r="H6" s="43"/>
    </row>
    <row r="7" spans="2:8" x14ac:dyDescent="0.25">
      <c r="B7" s="11"/>
      <c r="C7" s="11"/>
      <c r="D7" s="11"/>
      <c r="E7" s="11"/>
      <c r="F7" s="11"/>
      <c r="G7" s="11"/>
    </row>
    <row r="8" spans="2:8" x14ac:dyDescent="0.25">
      <c r="B8" s="11" t="s">
        <v>35</v>
      </c>
      <c r="C8" s="11" t="s">
        <v>27</v>
      </c>
      <c r="D8" s="13">
        <v>1.6</v>
      </c>
      <c r="E8" s="11" t="s">
        <v>36</v>
      </c>
      <c r="F8" s="12">
        <v>38.278795155526609</v>
      </c>
      <c r="G8" s="13" t="s">
        <v>33</v>
      </c>
    </row>
    <row r="9" spans="2:8" x14ac:dyDescent="0.25">
      <c r="B9" s="11" t="s">
        <v>35</v>
      </c>
      <c r="C9" s="11" t="s">
        <v>30</v>
      </c>
      <c r="D9" s="13">
        <v>1.8</v>
      </c>
      <c r="E9" s="11" t="s">
        <v>36</v>
      </c>
      <c r="F9" s="12">
        <v>48.443551480919751</v>
      </c>
      <c r="G9" s="13" t="s">
        <v>33</v>
      </c>
    </row>
    <row r="10" spans="2:8" x14ac:dyDescent="0.25">
      <c r="B10" s="11" t="s">
        <v>35</v>
      </c>
      <c r="C10" s="11" t="s">
        <v>31</v>
      </c>
      <c r="D10" s="13">
        <v>1.6</v>
      </c>
      <c r="E10" s="11" t="s">
        <v>37</v>
      </c>
      <c r="F10" s="12" t="s">
        <v>29</v>
      </c>
      <c r="G10" s="11"/>
    </row>
    <row r="11" spans="2:8" x14ac:dyDescent="0.25">
      <c r="B11" s="11" t="s">
        <v>35</v>
      </c>
      <c r="C11" s="11" t="s">
        <v>34</v>
      </c>
      <c r="D11" s="13">
        <v>1.8</v>
      </c>
      <c r="E11" s="11" t="s">
        <v>37</v>
      </c>
      <c r="F11" s="12" t="s">
        <v>29</v>
      </c>
      <c r="G11" s="11"/>
    </row>
    <row r="12" spans="2:8" x14ac:dyDescent="0.25">
      <c r="B12" s="11"/>
      <c r="C12" s="11"/>
      <c r="D12" s="11"/>
      <c r="E12" s="11"/>
      <c r="F12" s="11"/>
      <c r="G12" s="11"/>
    </row>
    <row r="13" spans="2:8" x14ac:dyDescent="0.25">
      <c r="B13" s="11" t="s">
        <v>38</v>
      </c>
      <c r="C13" s="11" t="s">
        <v>31</v>
      </c>
      <c r="D13" s="13">
        <v>1.6</v>
      </c>
      <c r="E13" s="11" t="s">
        <v>37</v>
      </c>
      <c r="F13" s="12" t="s">
        <v>39</v>
      </c>
      <c r="G13" s="11"/>
    </row>
    <row r="14" spans="2:8" x14ac:dyDescent="0.25">
      <c r="B14" s="11" t="s">
        <v>38</v>
      </c>
      <c r="C14" s="11" t="s">
        <v>34</v>
      </c>
      <c r="D14" s="13">
        <v>1.8</v>
      </c>
      <c r="E14" s="11" t="s">
        <v>37</v>
      </c>
      <c r="F14" s="12" t="s">
        <v>39</v>
      </c>
      <c r="G14" s="11"/>
    </row>
    <row r="15" spans="2:8" x14ac:dyDescent="0.25">
      <c r="B15" s="11" t="s">
        <v>38</v>
      </c>
      <c r="C15" s="11" t="s">
        <v>27</v>
      </c>
      <c r="D15" s="13">
        <v>1.6</v>
      </c>
      <c r="E15" s="11" t="s">
        <v>36</v>
      </c>
      <c r="F15" s="12" t="s">
        <v>29</v>
      </c>
      <c r="G15" s="11"/>
    </row>
    <row r="16" spans="2:8" x14ac:dyDescent="0.25">
      <c r="B16" s="11" t="s">
        <v>38</v>
      </c>
      <c r="C16" s="11" t="s">
        <v>30</v>
      </c>
      <c r="D16" s="13">
        <v>1.8</v>
      </c>
      <c r="E16" s="11" t="s">
        <v>36</v>
      </c>
      <c r="F16" s="12" t="s">
        <v>29</v>
      </c>
      <c r="G16" s="11"/>
    </row>
    <row r="17" spans="2:7" x14ac:dyDescent="0.25">
      <c r="B17" s="11" t="s">
        <v>38</v>
      </c>
      <c r="C17" s="11" t="s">
        <v>40</v>
      </c>
      <c r="D17" s="13" t="s">
        <v>40</v>
      </c>
      <c r="E17" s="11" t="s">
        <v>41</v>
      </c>
      <c r="F17" s="10">
        <f>309.7*0.8</f>
        <v>247.76</v>
      </c>
      <c r="G17" s="13" t="s">
        <v>33</v>
      </c>
    </row>
    <row r="18" spans="2:7" x14ac:dyDescent="0.25">
      <c r="B18" s="11" t="s">
        <v>38</v>
      </c>
      <c r="C18" s="11" t="s">
        <v>40</v>
      </c>
      <c r="D18" s="13" t="s">
        <v>40</v>
      </c>
      <c r="E18" s="11" t="s">
        <v>42</v>
      </c>
      <c r="F18" s="37">
        <f>1099.9*0.8</f>
        <v>879.92000000000007</v>
      </c>
      <c r="G18" s="13" t="s">
        <v>33</v>
      </c>
    </row>
    <row r="19" spans="2:7" x14ac:dyDescent="0.25">
      <c r="B19" s="11"/>
      <c r="C19" s="11"/>
      <c r="D19" s="11"/>
      <c r="E19" s="11"/>
      <c r="F19" s="11"/>
      <c r="G19" s="11"/>
    </row>
    <row r="20" spans="2:7" x14ac:dyDescent="0.25">
      <c r="B20" s="11" t="s">
        <v>43</v>
      </c>
      <c r="C20" s="11" t="s">
        <v>27</v>
      </c>
      <c r="D20" s="13">
        <v>1.6</v>
      </c>
      <c r="E20" s="11" t="s">
        <v>44</v>
      </c>
      <c r="F20" s="12">
        <f>4449.692*(35^2/45.5^2)</f>
        <v>2632.9538461538464</v>
      </c>
      <c r="G20" s="13" t="s">
        <v>45</v>
      </c>
    </row>
    <row r="21" spans="2:7" x14ac:dyDescent="0.25">
      <c r="B21" s="11" t="s">
        <v>43</v>
      </c>
      <c r="C21" s="11" t="s">
        <v>30</v>
      </c>
      <c r="D21" s="13">
        <v>1.8</v>
      </c>
      <c r="E21" s="11" t="s">
        <v>44</v>
      </c>
      <c r="F21" s="10">
        <f>5631.187*(35^2/45.5^2)</f>
        <v>3332.0633136094675</v>
      </c>
      <c r="G21" s="13" t="s">
        <v>45</v>
      </c>
    </row>
    <row r="22" spans="2:7" x14ac:dyDescent="0.25">
      <c r="B22" s="11" t="s">
        <v>43</v>
      </c>
      <c r="C22" s="11" t="s">
        <v>31</v>
      </c>
      <c r="D22" s="13">
        <v>1.6</v>
      </c>
      <c r="E22" s="11" t="s">
        <v>46</v>
      </c>
      <c r="F22" s="12" t="s">
        <v>29</v>
      </c>
      <c r="G22" s="11"/>
    </row>
    <row r="23" spans="2:7" x14ac:dyDescent="0.25">
      <c r="B23" s="11" t="s">
        <v>43</v>
      </c>
      <c r="C23" s="11" t="s">
        <v>34</v>
      </c>
      <c r="D23" s="13">
        <v>1.8</v>
      </c>
      <c r="E23" s="11" t="s">
        <v>46</v>
      </c>
      <c r="F23" s="12" t="s">
        <v>29</v>
      </c>
      <c r="G23" s="11"/>
    </row>
    <row r="24" spans="2:7" x14ac:dyDescent="0.25">
      <c r="B24" s="11"/>
      <c r="C24" s="11"/>
      <c r="D24" s="11"/>
      <c r="E24" s="11"/>
      <c r="F24" s="11"/>
      <c r="G24" s="11"/>
    </row>
    <row r="25" spans="2:7" x14ac:dyDescent="0.25">
      <c r="B25" s="11" t="s">
        <v>47</v>
      </c>
      <c r="C25" s="11" t="s">
        <v>48</v>
      </c>
      <c r="D25" s="13">
        <v>1.6</v>
      </c>
      <c r="E25" s="11" t="s">
        <v>46</v>
      </c>
      <c r="F25" s="12" t="s">
        <v>29</v>
      </c>
      <c r="G25" s="11"/>
    </row>
    <row r="26" spans="2:7" x14ac:dyDescent="0.25">
      <c r="B26" s="11" t="s">
        <v>47</v>
      </c>
      <c r="C26" s="11" t="s">
        <v>49</v>
      </c>
      <c r="D26" s="13">
        <v>1.8</v>
      </c>
      <c r="E26" s="11" t="s">
        <v>46</v>
      </c>
      <c r="F26" s="12" t="s">
        <v>29</v>
      </c>
      <c r="G26" s="11"/>
    </row>
    <row r="27" spans="2:7" x14ac:dyDescent="0.25">
      <c r="B27" s="11" t="s">
        <v>47</v>
      </c>
      <c r="C27" s="11" t="s">
        <v>50</v>
      </c>
      <c r="D27" s="13">
        <v>1.6</v>
      </c>
      <c r="E27" s="11" t="s">
        <v>51</v>
      </c>
      <c r="F27" s="12">
        <v>12285.546</v>
      </c>
      <c r="G27" s="13" t="s">
        <v>45</v>
      </c>
    </row>
    <row r="28" spans="2:7" x14ac:dyDescent="0.25">
      <c r="B28" s="11" t="s">
        <v>47</v>
      </c>
      <c r="C28" s="11" t="s">
        <v>52</v>
      </c>
      <c r="D28" s="13">
        <v>1.8</v>
      </c>
      <c r="E28" s="11" t="s">
        <v>51</v>
      </c>
      <c r="F28" s="12">
        <v>15548.893</v>
      </c>
      <c r="G28" s="13" t="s">
        <v>45</v>
      </c>
    </row>
    <row r="29" spans="2:7" x14ac:dyDescent="0.25">
      <c r="B29" s="11" t="s">
        <v>47</v>
      </c>
      <c r="C29" s="11" t="s">
        <v>53</v>
      </c>
      <c r="D29" s="13">
        <v>1.6</v>
      </c>
      <c r="E29" s="11" t="s">
        <v>46</v>
      </c>
      <c r="F29" s="12" t="s">
        <v>29</v>
      </c>
      <c r="G29" s="11"/>
    </row>
    <row r="30" spans="2:7" x14ac:dyDescent="0.25">
      <c r="B30" s="11" t="s">
        <v>47</v>
      </c>
      <c r="C30" s="11" t="s">
        <v>54</v>
      </c>
      <c r="D30" s="13">
        <v>1.8</v>
      </c>
      <c r="E30" s="11" t="s">
        <v>46</v>
      </c>
      <c r="F30" s="12" t="s">
        <v>29</v>
      </c>
      <c r="G30" s="11"/>
    </row>
    <row r="31" spans="2:7" x14ac:dyDescent="0.25">
      <c r="B31" s="11" t="s">
        <v>47</v>
      </c>
      <c r="C31" s="11" t="s">
        <v>55</v>
      </c>
      <c r="D31" s="13">
        <v>1.1199999999999999</v>
      </c>
      <c r="E31" s="11" t="s">
        <v>56</v>
      </c>
      <c r="F31" s="12">
        <v>7835.8540000000003</v>
      </c>
      <c r="G31" s="13" t="s">
        <v>45</v>
      </c>
    </row>
    <row r="32" spans="2:7" x14ac:dyDescent="0.25">
      <c r="B32" s="11" t="s">
        <v>47</v>
      </c>
      <c r="C32" s="11" t="s">
        <v>57</v>
      </c>
      <c r="D32" s="13">
        <v>1.26</v>
      </c>
      <c r="E32" s="11" t="s">
        <v>56</v>
      </c>
      <c r="F32" s="12">
        <v>9917.7060000000001</v>
      </c>
      <c r="G32" s="1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0"/>
  <sheetViews>
    <sheetView workbookViewId="0">
      <selection activeCell="K23" sqref="K23"/>
    </sheetView>
  </sheetViews>
  <sheetFormatPr defaultRowHeight="15" x14ac:dyDescent="0.25"/>
  <cols>
    <col min="1" max="1" width="9.140625" style="20"/>
    <col min="2" max="2" width="5.85546875" style="20" bestFit="1" customWidth="1"/>
    <col min="3" max="3" width="14" style="20" bestFit="1" customWidth="1"/>
    <col min="4" max="4" width="11.42578125" style="20" customWidth="1"/>
    <col min="5" max="5" width="15.7109375" style="20" bestFit="1" customWidth="1"/>
    <col min="6" max="6" width="12.5703125" style="20" bestFit="1" customWidth="1"/>
    <col min="7" max="7" width="17.7109375" style="20" bestFit="1" customWidth="1"/>
    <col min="8" max="16384" width="9.140625" style="20"/>
  </cols>
  <sheetData>
    <row r="2" spans="2:7" x14ac:dyDescent="0.25">
      <c r="B2" s="20" t="s">
        <v>104</v>
      </c>
      <c r="C2" s="20" t="s">
        <v>105</v>
      </c>
      <c r="D2" s="20" t="s">
        <v>112</v>
      </c>
      <c r="F2" s="20">
        <v>1</v>
      </c>
    </row>
    <row r="3" spans="2:7" x14ac:dyDescent="0.25">
      <c r="B3" s="20" t="s">
        <v>106</v>
      </c>
      <c r="C3" s="20" t="s">
        <v>107</v>
      </c>
      <c r="D3" s="20" t="s">
        <v>108</v>
      </c>
      <c r="E3" s="20" t="s">
        <v>111</v>
      </c>
      <c r="F3" s="20" t="s">
        <v>110</v>
      </c>
      <c r="G3" s="20" t="s">
        <v>109</v>
      </c>
    </row>
    <row r="4" spans="2:7" x14ac:dyDescent="0.25">
      <c r="B4" s="51">
        <v>0</v>
      </c>
      <c r="C4" s="51">
        <v>0</v>
      </c>
      <c r="D4" s="52">
        <f t="shared" ref="D4:D19" si="0">0.85*(0.5*(1025.9)*PI()*((35/2)^2)*(B4^3)*0.43)/1000</f>
        <v>0</v>
      </c>
      <c r="E4" s="52">
        <f>(0.5*(1025.9)*PI()*((27.2/2)^2)*(B4^2)*0.771)/1000</f>
        <v>0</v>
      </c>
      <c r="F4" s="52">
        <f>E4*$F$2</f>
        <v>0</v>
      </c>
      <c r="G4" s="52">
        <f t="shared" ref="G4:G28" si="1">F4*C4/$C$30</f>
        <v>0</v>
      </c>
    </row>
    <row r="5" spans="2:7" x14ac:dyDescent="0.25">
      <c r="B5" s="51">
        <v>0.1</v>
      </c>
      <c r="C5" s="51">
        <v>0</v>
      </c>
      <c r="D5" s="52">
        <f t="shared" si="0"/>
        <v>0.18038000121396752</v>
      </c>
      <c r="E5" s="52">
        <f t="shared" ref="E5:E20" si="2">(0.5*(1025.9)*PI()*((27.2/2)^2)*(B5^2)*0.771)/1000</f>
        <v>2.2980374486315585</v>
      </c>
      <c r="F5" s="52">
        <f t="shared" ref="F5:F29" si="3">E5*$F$2</f>
        <v>2.2980374486315585</v>
      </c>
      <c r="G5" s="52">
        <f t="shared" si="1"/>
        <v>0</v>
      </c>
    </row>
    <row r="6" spans="2:7" x14ac:dyDescent="0.25">
      <c r="B6" s="51">
        <v>0.2</v>
      </c>
      <c r="C6" s="51">
        <v>0.76090000000000002</v>
      </c>
      <c r="D6" s="52">
        <f t="shared" si="0"/>
        <v>1.4430400097117402</v>
      </c>
      <c r="E6" s="52">
        <f t="shared" si="2"/>
        <v>9.1921497945262338</v>
      </c>
      <c r="F6" s="52">
        <f t="shared" si="3"/>
        <v>9.1921497945262338</v>
      </c>
      <c r="G6" s="52">
        <f t="shared" si="1"/>
        <v>7.9843682864927476E-4</v>
      </c>
    </row>
    <row r="7" spans="2:7" x14ac:dyDescent="0.25">
      <c r="B7" s="51">
        <v>0.3</v>
      </c>
      <c r="C7" s="51">
        <v>8.3696999999999999</v>
      </c>
      <c r="D7" s="52">
        <f t="shared" si="0"/>
        <v>4.8702600327771206</v>
      </c>
      <c r="E7" s="52">
        <f t="shared" si="2"/>
        <v>20.682337037684025</v>
      </c>
      <c r="F7" s="52">
        <f t="shared" si="3"/>
        <v>20.682337037684025</v>
      </c>
      <c r="G7" s="52">
        <f t="shared" si="1"/>
        <v>1.9760839309604584E-2</v>
      </c>
    </row>
    <row r="8" spans="2:7" x14ac:dyDescent="0.25">
      <c r="B8" s="51">
        <v>0.4</v>
      </c>
      <c r="C8" s="51">
        <v>13.6958</v>
      </c>
      <c r="D8" s="52">
        <f t="shared" si="0"/>
        <v>11.544320077693921</v>
      </c>
      <c r="E8" s="52">
        <f t="shared" si="2"/>
        <v>36.768599178104935</v>
      </c>
      <c r="F8" s="52">
        <f t="shared" si="3"/>
        <v>36.768599178104935</v>
      </c>
      <c r="G8" s="52">
        <f t="shared" si="1"/>
        <v>5.7485772731316796E-2</v>
      </c>
    </row>
    <row r="9" spans="2:7" x14ac:dyDescent="0.25">
      <c r="B9" s="51">
        <v>0.5</v>
      </c>
      <c r="C9" s="51">
        <v>20.543700000000001</v>
      </c>
      <c r="D9" s="52">
        <f t="shared" si="0"/>
        <v>22.547500151745933</v>
      </c>
      <c r="E9" s="52">
        <f t="shared" si="2"/>
        <v>57.450936215788957</v>
      </c>
      <c r="F9" s="52">
        <f t="shared" si="3"/>
        <v>57.450936215788957</v>
      </c>
      <c r="G9" s="52">
        <f t="shared" si="1"/>
        <v>0.13473227983902372</v>
      </c>
    </row>
    <row r="10" spans="2:7" x14ac:dyDescent="0.25">
      <c r="B10" s="51">
        <v>0.6</v>
      </c>
      <c r="C10" s="51">
        <v>40.326599999999999</v>
      </c>
      <c r="D10" s="52">
        <f t="shared" si="0"/>
        <v>38.962080262216965</v>
      </c>
      <c r="E10" s="52">
        <f t="shared" si="2"/>
        <v>82.729348150736101</v>
      </c>
      <c r="F10" s="52">
        <f t="shared" si="3"/>
        <v>82.729348150736101</v>
      </c>
      <c r="G10" s="52">
        <f t="shared" si="1"/>
        <v>0.38084397887747479</v>
      </c>
    </row>
    <row r="11" spans="2:7" x14ac:dyDescent="0.25">
      <c r="B11" s="51">
        <v>0.7</v>
      </c>
      <c r="C11" s="51">
        <v>41.087499999999999</v>
      </c>
      <c r="D11" s="52">
        <f t="shared" si="0"/>
        <v>61.870340416390817</v>
      </c>
      <c r="E11" s="52">
        <f t="shared" si="2"/>
        <v>112.60383498294632</v>
      </c>
      <c r="F11" s="52">
        <f t="shared" si="3"/>
        <v>112.60383498294632</v>
      </c>
      <c r="G11" s="52">
        <f t="shared" si="1"/>
        <v>0.52815182240084968</v>
      </c>
    </row>
    <row r="12" spans="2:7" x14ac:dyDescent="0.25">
      <c r="B12" s="51">
        <v>0.8</v>
      </c>
      <c r="C12" s="51">
        <v>127.82769999999999</v>
      </c>
      <c r="D12" s="52">
        <f t="shared" si="0"/>
        <v>92.354560621551371</v>
      </c>
      <c r="E12" s="52">
        <f t="shared" si="2"/>
        <v>147.07439671241974</v>
      </c>
      <c r="F12" s="52">
        <f t="shared" si="3"/>
        <v>147.07439671241974</v>
      </c>
      <c r="G12" s="52">
        <f t="shared" si="1"/>
        <v>2.1461394328091661</v>
      </c>
    </row>
    <row r="13" spans="2:7" x14ac:dyDescent="0.25">
      <c r="B13" s="51">
        <v>0.9</v>
      </c>
      <c r="C13" s="51">
        <v>187.93709999999999</v>
      </c>
      <c r="D13" s="52">
        <f t="shared" si="0"/>
        <v>131.49702088498231</v>
      </c>
      <c r="E13" s="52">
        <f t="shared" si="2"/>
        <v>186.14103333915625</v>
      </c>
      <c r="F13" s="52">
        <f t="shared" si="3"/>
        <v>186.14103333915625</v>
      </c>
      <c r="G13" s="52">
        <f t="shared" si="1"/>
        <v>3.9934709130217083</v>
      </c>
    </row>
    <row r="14" spans="2:7" x14ac:dyDescent="0.25">
      <c r="B14" s="51">
        <v>1</v>
      </c>
      <c r="C14" s="51">
        <v>251.09010000000001</v>
      </c>
      <c r="D14" s="52">
        <f t="shared" si="0"/>
        <v>180.38000121396746</v>
      </c>
      <c r="E14" s="52">
        <f t="shared" si="2"/>
        <v>229.80374486315583</v>
      </c>
      <c r="F14" s="52">
        <f t="shared" si="3"/>
        <v>229.80374486315583</v>
      </c>
      <c r="G14" s="52">
        <f t="shared" si="1"/>
        <v>6.5869228265616124</v>
      </c>
    </row>
    <row r="15" spans="2:7" x14ac:dyDescent="0.25">
      <c r="B15" s="51">
        <v>1.1000000000000001</v>
      </c>
      <c r="C15" s="51">
        <v>435.22280000000001</v>
      </c>
      <c r="D15" s="52">
        <f t="shared" si="0"/>
        <v>240.08578161579081</v>
      </c>
      <c r="E15" s="52">
        <f t="shared" si="2"/>
        <v>278.06253128441858</v>
      </c>
      <c r="F15" s="52">
        <f t="shared" si="3"/>
        <v>278.06253128441858</v>
      </c>
      <c r="G15" s="52">
        <f t="shared" si="1"/>
        <v>13.814971538549997</v>
      </c>
    </row>
    <row r="16" spans="2:7" x14ac:dyDescent="0.25">
      <c r="B16" s="51">
        <v>1.2</v>
      </c>
      <c r="C16" s="51">
        <v>528.81089999999995</v>
      </c>
      <c r="D16" s="52">
        <f t="shared" si="0"/>
        <v>311.69664209773572</v>
      </c>
      <c r="E16" s="52">
        <f t="shared" si="2"/>
        <v>330.9173926029444</v>
      </c>
      <c r="F16" s="52">
        <f t="shared" si="3"/>
        <v>330.9173926029444</v>
      </c>
      <c r="G16" s="52">
        <f t="shared" si="1"/>
        <v>19.976337923829771</v>
      </c>
    </row>
    <row r="17" spans="2:7" x14ac:dyDescent="0.25">
      <c r="B17" s="51">
        <v>1.3</v>
      </c>
      <c r="C17" s="51">
        <v>821.74929999999995</v>
      </c>
      <c r="D17" s="52">
        <f t="shared" si="0"/>
        <v>396.29486266708659</v>
      </c>
      <c r="E17" s="52">
        <f t="shared" si="2"/>
        <v>388.3683288187334</v>
      </c>
      <c r="F17" s="52">
        <f t="shared" si="3"/>
        <v>388.3683288187334</v>
      </c>
      <c r="G17" s="52">
        <f t="shared" si="1"/>
        <v>36.431666103040051</v>
      </c>
    </row>
    <row r="18" spans="2:7" x14ac:dyDescent="0.25">
      <c r="B18" s="51">
        <v>1.4</v>
      </c>
      <c r="C18" s="51">
        <v>1091.1005</v>
      </c>
      <c r="D18" s="52">
        <f t="shared" si="0"/>
        <v>494.96272333112654</v>
      </c>
      <c r="E18" s="52">
        <f t="shared" si="2"/>
        <v>450.4153399317853</v>
      </c>
      <c r="F18" s="52">
        <f t="shared" si="3"/>
        <v>450.4153399317853</v>
      </c>
      <c r="G18" s="52">
        <f t="shared" si="1"/>
        <v>56.101414541890186</v>
      </c>
    </row>
    <row r="19" spans="2:7" x14ac:dyDescent="0.25">
      <c r="B19" s="51">
        <v>1.5</v>
      </c>
      <c r="C19" s="51">
        <v>1352.0820000000001</v>
      </c>
      <c r="D19" s="52">
        <f t="shared" si="0"/>
        <v>608.78250409714019</v>
      </c>
      <c r="E19" s="52">
        <f t="shared" si="2"/>
        <v>517.0584259421006</v>
      </c>
      <c r="F19" s="52">
        <f t="shared" si="3"/>
        <v>517.0584259421006</v>
      </c>
      <c r="G19" s="52">
        <f t="shared" si="1"/>
        <v>79.806549623668673</v>
      </c>
    </row>
    <row r="20" spans="2:7" x14ac:dyDescent="0.25">
      <c r="B20" s="51">
        <v>1.6</v>
      </c>
      <c r="C20" s="51">
        <v>1373.3866</v>
      </c>
      <c r="D20" s="52">
        <f>0.85*(0.5*(1025.9)*PI()*((35/2)^2)*(B20^3)*0.43)/1000</f>
        <v>738.83648497241097</v>
      </c>
      <c r="E20" s="52">
        <f t="shared" si="2"/>
        <v>588.29758684967896</v>
      </c>
      <c r="F20" s="52">
        <f t="shared" si="3"/>
        <v>588.29758684967896</v>
      </c>
      <c r="G20" s="52">
        <f t="shared" si="1"/>
        <v>92.232877185514837</v>
      </c>
    </row>
    <row r="21" spans="2:7" x14ac:dyDescent="0.25">
      <c r="B21" s="51">
        <v>1.7</v>
      </c>
      <c r="C21" s="51">
        <v>1085.0135</v>
      </c>
      <c r="D21" s="52">
        <f>D20</f>
        <v>738.83648497241097</v>
      </c>
      <c r="E21" s="52">
        <f>E20</f>
        <v>588.29758684967896</v>
      </c>
      <c r="F21" s="52">
        <f t="shared" si="3"/>
        <v>588.29758684967896</v>
      </c>
      <c r="G21" s="52">
        <f t="shared" si="1"/>
        <v>72.86653072785596</v>
      </c>
    </row>
    <row r="22" spans="2:7" x14ac:dyDescent="0.25">
      <c r="B22" s="51">
        <v>1.8</v>
      </c>
      <c r="C22" s="51">
        <v>639.13840000000005</v>
      </c>
      <c r="D22" s="52">
        <f t="shared" ref="D22:E29" si="4">D21</f>
        <v>738.83648497241097</v>
      </c>
      <c r="E22" s="52">
        <f t="shared" si="4"/>
        <v>588.29758684967896</v>
      </c>
      <c r="F22" s="52">
        <f t="shared" si="3"/>
        <v>588.29758684967896</v>
      </c>
      <c r="G22" s="52">
        <f t="shared" si="1"/>
        <v>42.922781940457597</v>
      </c>
    </row>
    <row r="23" spans="2:7" x14ac:dyDescent="0.25">
      <c r="B23" s="51">
        <v>1.9</v>
      </c>
      <c r="C23" s="51">
        <v>353.04790000000003</v>
      </c>
      <c r="D23" s="52">
        <f t="shared" si="4"/>
        <v>738.83648497241097</v>
      </c>
      <c r="E23" s="52">
        <f t="shared" si="4"/>
        <v>588.29758684967896</v>
      </c>
      <c r="F23" s="52">
        <f t="shared" si="3"/>
        <v>588.29758684967896</v>
      </c>
      <c r="G23" s="52">
        <f t="shared" si="1"/>
        <v>23.70972863817364</v>
      </c>
    </row>
    <row r="24" spans="2:7" x14ac:dyDescent="0.25">
      <c r="B24" s="51">
        <v>2</v>
      </c>
      <c r="C24" s="51">
        <v>225.22020000000001</v>
      </c>
      <c r="D24" s="52">
        <f t="shared" si="4"/>
        <v>738.83648497241097</v>
      </c>
      <c r="E24" s="52">
        <f t="shared" si="4"/>
        <v>588.29758684967896</v>
      </c>
      <c r="F24" s="52">
        <f t="shared" si="3"/>
        <v>588.29758684967896</v>
      </c>
      <c r="G24" s="52">
        <f t="shared" si="1"/>
        <v>15.125170906936978</v>
      </c>
    </row>
    <row r="25" spans="2:7" x14ac:dyDescent="0.25">
      <c r="B25" s="51">
        <v>2.1</v>
      </c>
      <c r="C25" s="51">
        <v>98.914299999999997</v>
      </c>
      <c r="D25" s="52">
        <f t="shared" si="4"/>
        <v>738.83648497241097</v>
      </c>
      <c r="E25" s="52">
        <f t="shared" si="4"/>
        <v>588.29758684967896</v>
      </c>
      <c r="F25" s="52">
        <f t="shared" si="3"/>
        <v>588.29758684967896</v>
      </c>
      <c r="G25" s="52">
        <f t="shared" si="1"/>
        <v>6.6428130897674187</v>
      </c>
    </row>
    <row r="26" spans="2:7" x14ac:dyDescent="0.25">
      <c r="B26" s="51">
        <v>2.2000000000000002</v>
      </c>
      <c r="C26" s="51">
        <v>41.848300000000002</v>
      </c>
      <c r="D26" s="52">
        <f t="shared" si="4"/>
        <v>738.83648497241097</v>
      </c>
      <c r="E26" s="52">
        <f t="shared" si="4"/>
        <v>588.29758684967896</v>
      </c>
      <c r="F26" s="52">
        <f t="shared" si="3"/>
        <v>588.29758684967896</v>
      </c>
      <c r="G26" s="52">
        <f t="shared" si="1"/>
        <v>2.8104170481367601</v>
      </c>
    </row>
    <row r="27" spans="2:7" x14ac:dyDescent="0.25">
      <c r="B27" s="51">
        <v>2.2999999999999998</v>
      </c>
      <c r="C27" s="51">
        <v>15.217599999999999</v>
      </c>
      <c r="D27" s="52">
        <f t="shared" si="4"/>
        <v>738.83648497241097</v>
      </c>
      <c r="E27" s="52">
        <f t="shared" si="4"/>
        <v>588.29758684967896</v>
      </c>
      <c r="F27" s="52">
        <f t="shared" si="3"/>
        <v>588.29758684967896</v>
      </c>
      <c r="G27" s="52">
        <f t="shared" si="1"/>
        <v>1.0219722777681759</v>
      </c>
    </row>
    <row r="28" spans="2:7" x14ac:dyDescent="0.25">
      <c r="B28" s="51">
        <v>2.4</v>
      </c>
      <c r="C28" s="51">
        <v>7.6087999999999996</v>
      </c>
      <c r="D28" s="52">
        <f t="shared" si="4"/>
        <v>738.83648497241097</v>
      </c>
      <c r="E28" s="52">
        <f t="shared" si="4"/>
        <v>588.29758684967896</v>
      </c>
      <c r="F28" s="52">
        <f t="shared" si="3"/>
        <v>588.29758684967896</v>
      </c>
      <c r="G28" s="52">
        <f t="shared" si="1"/>
        <v>0.51098613888408795</v>
      </c>
    </row>
    <row r="29" spans="2:7" x14ac:dyDescent="0.25">
      <c r="B29" s="51">
        <v>2.5</v>
      </c>
      <c r="C29" s="51">
        <v>0</v>
      </c>
      <c r="D29" s="52">
        <f t="shared" si="4"/>
        <v>738.83648497241097</v>
      </c>
      <c r="E29" s="52">
        <f t="shared" si="4"/>
        <v>588.29758684967896</v>
      </c>
      <c r="F29" s="52">
        <f t="shared" si="3"/>
        <v>588.29758684967896</v>
      </c>
      <c r="G29" s="52">
        <f>F29*C29/$C$30</f>
        <v>0</v>
      </c>
    </row>
    <row r="30" spans="2:7" x14ac:dyDescent="0.25">
      <c r="B30" s="53"/>
      <c r="C30" s="51">
        <f>SUM(C4:C29)</f>
        <v>8760.0001999999986</v>
      </c>
      <c r="D30" s="53"/>
      <c r="E30" s="53"/>
      <c r="F30" s="53"/>
      <c r="G30" s="54">
        <f>SUM(G4:G29)</f>
        <v>477.82252398685353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90" zoomScaleNormal="90" workbookViewId="0">
      <selection activeCell="Q35" sqref="Q35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7"/>
  <sheetViews>
    <sheetView workbookViewId="0">
      <selection activeCell="E20" sqref="E20"/>
    </sheetView>
  </sheetViews>
  <sheetFormatPr defaultRowHeight="15" x14ac:dyDescent="0.25"/>
  <sheetData>
    <row r="2" spans="2:2" ht="26.25" x14ac:dyDescent="0.25">
      <c r="B2" s="33" t="s">
        <v>73</v>
      </c>
    </row>
    <row r="3" spans="2:2" ht="18" x14ac:dyDescent="0.25">
      <c r="B3" s="34" t="s">
        <v>74</v>
      </c>
    </row>
    <row r="4" spans="2:2" x14ac:dyDescent="0.25">
      <c r="B4" s="34" t="s">
        <v>75</v>
      </c>
    </row>
    <row r="5" spans="2:2" x14ac:dyDescent="0.25">
      <c r="B5" s="34" t="s">
        <v>76</v>
      </c>
    </row>
    <row r="8" spans="2:2" ht="26.25" x14ac:dyDescent="0.25">
      <c r="B8" s="33" t="s">
        <v>77</v>
      </c>
    </row>
    <row r="9" spans="2:2" x14ac:dyDescent="0.25">
      <c r="B9" s="34" t="s">
        <v>78</v>
      </c>
    </row>
    <row r="10" spans="2:2" ht="21" x14ac:dyDescent="0.25">
      <c r="B10" s="35" t="s">
        <v>79</v>
      </c>
    </row>
    <row r="11" spans="2:2" x14ac:dyDescent="0.25">
      <c r="B11" s="34" t="s">
        <v>80</v>
      </c>
    </row>
    <row r="12" spans="2:2" x14ac:dyDescent="0.25">
      <c r="B12" s="34" t="s">
        <v>81</v>
      </c>
    </row>
    <row r="13" spans="2:2" ht="21" x14ac:dyDescent="0.25">
      <c r="B13" s="35" t="s">
        <v>82</v>
      </c>
    </row>
    <row r="14" spans="2:2" x14ac:dyDescent="0.25">
      <c r="B14" s="34" t="s">
        <v>83</v>
      </c>
    </row>
    <row r="15" spans="2:2" ht="21" x14ac:dyDescent="0.25">
      <c r="B15" s="35" t="s">
        <v>84</v>
      </c>
    </row>
    <row r="16" spans="2:2" x14ac:dyDescent="0.25">
      <c r="B16" s="34" t="s">
        <v>85</v>
      </c>
    </row>
    <row r="17" spans="2:2" x14ac:dyDescent="0.25">
      <c r="B17" s="36" t="s">
        <v>86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T18" sqref="T18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27.2m Calcs</vt:lpstr>
      <vt:lpstr>Scaled 27.2m Loads</vt:lpstr>
      <vt:lpstr>27.2m Histogram</vt:lpstr>
      <vt:lpstr>UHMWPE Data</vt:lpstr>
      <vt:lpstr>Duramax Data</vt:lpstr>
      <vt:lpstr>Diagrams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Swales</dc:creator>
  <cp:lastModifiedBy>TMayer</cp:lastModifiedBy>
  <dcterms:created xsi:type="dcterms:W3CDTF">2013-01-04T01:22:49Z</dcterms:created>
  <dcterms:modified xsi:type="dcterms:W3CDTF">2014-11-27T00:16:21Z</dcterms:modified>
</cp:coreProperties>
</file>