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style6.xml" ContentType="application/vnd.ms-office.chartstyle+xml"/>
  <Override PartName="/xl/charts/colors6.xml" ContentType="application/vnd.ms-office.chartcolorstyle+xml"/>
  <Override PartName="/xl/charts/chart22.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hidePivotFieldList="1" defaultThemeVersion="166925"/>
  <mc:AlternateContent xmlns:mc="http://schemas.openxmlformats.org/markup-compatibility/2006">
    <mc:Choice Requires="x15">
      <x15ac:absPath xmlns:x15ac="http://schemas.microsoft.com/office/spreadsheetml/2010/11/ac" url="/Users/cortega/Desktop/"/>
    </mc:Choice>
  </mc:AlternateContent>
  <xr:revisionPtr revIDLastSave="0" documentId="8_{39797F5D-5078-1B4D-8A3F-EDB4D4BEEB31}" xr6:coauthVersionLast="47" xr6:coauthVersionMax="47" xr10:uidLastSave="{00000000-0000-0000-0000-000000000000}"/>
  <bookViews>
    <workbookView xWindow="-38380" yWindow="500" windowWidth="38380" windowHeight="23500" firstSheet="2" activeTab="13" xr2:uid="{00000000-000D-0000-FFFF-FFFF00000000}"/>
  </bookViews>
  <sheets>
    <sheet name="README" sheetId="28" r:id="rId1"/>
    <sheet name="1. MADWEC CapEx" sheetId="25" r:id="rId2"/>
    <sheet name="1. MADWEC Installation" sheetId="8" r:id="rId3"/>
    <sheet name="1. MADWEC O&amp;M" sheetId="10" r:id="rId4"/>
    <sheet name="1. MADWEC Power" sheetId="29" r:id="rId5"/>
    <sheet name="2. Solar CapEx" sheetId="22" r:id="rId6"/>
    <sheet name="2. Solar Installation" sheetId="17" r:id="rId7"/>
    <sheet name="2. Solar O&amp;M" sheetId="19" r:id="rId8"/>
    <sheet name="2. Solar Power" sheetId="33" r:id="rId9"/>
    <sheet name="3. Battery CapEx" sheetId="26" r:id="rId10"/>
    <sheet name="3. Battery Installation" sheetId="18" r:id="rId11"/>
    <sheet name="3. Battery O&amp;M" sheetId="20" r:id="rId12"/>
    <sheet name="3. Battery Power" sheetId="31" r:id="rId13"/>
    <sheet name="RESULTS" sheetId="27"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18" l="1"/>
  <c r="E101" i="18"/>
  <c r="E99" i="18"/>
  <c r="N136" i="27"/>
  <c r="O35" i="27"/>
  <c r="N35" i="27"/>
  <c r="P34" i="27"/>
  <c r="O34" i="27"/>
  <c r="N34" i="27"/>
  <c r="P33" i="27"/>
  <c r="O33" i="27"/>
  <c r="N33" i="27"/>
  <c r="P32" i="27"/>
  <c r="O32" i="27"/>
  <c r="N32" i="27"/>
  <c r="P31" i="27"/>
  <c r="O31" i="27"/>
  <c r="N31" i="27"/>
  <c r="P30" i="27"/>
  <c r="O30" i="27"/>
  <c r="N30" i="27"/>
  <c r="H396" i="25"/>
  <c r="J104" i="18"/>
  <c r="J103" i="18"/>
  <c r="E103" i="18"/>
  <c r="J102" i="18"/>
  <c r="E102" i="18"/>
  <c r="J101" i="18"/>
  <c r="P35" i="27" s="1"/>
  <c r="R257" i="27"/>
  <c r="J100" i="18"/>
  <c r="E100" i="18"/>
  <c r="J99" i="18"/>
  <c r="X86" i="17"/>
  <c r="H102" i="17"/>
  <c r="E102" i="17"/>
  <c r="E101" i="17"/>
  <c r="E98" i="17"/>
  <c r="H101" i="17"/>
  <c r="E97" i="17"/>
  <c r="H100" i="17"/>
  <c r="E100" i="17"/>
  <c r="E99" i="17"/>
  <c r="H99" i="17"/>
  <c r="H98" i="17"/>
  <c r="H97" i="17"/>
  <c r="E67" i="10"/>
  <c r="K110" i="8"/>
  <c r="K105" i="8"/>
  <c r="X97" i="8"/>
  <c r="K107" i="8"/>
  <c r="E110" i="8"/>
  <c r="K109" i="8"/>
  <c r="E109" i="8"/>
  <c r="K108" i="8"/>
  <c r="E108" i="8"/>
  <c r="E107" i="8"/>
  <c r="K106" i="8"/>
  <c r="E106" i="8"/>
  <c r="E105" i="8"/>
  <c r="N11" i="27"/>
  <c r="P232" i="27"/>
  <c r="P12" i="27"/>
  <c r="O12" i="27"/>
  <c r="P9" i="27"/>
  <c r="P14" i="27"/>
  <c r="O14" i="27"/>
  <c r="N14" i="27"/>
  <c r="P13" i="27"/>
  <c r="O13" i="27"/>
  <c r="N13" i="27"/>
  <c r="N12" i="27"/>
  <c r="P11" i="27"/>
  <c r="O11" i="27"/>
  <c r="P10" i="27"/>
  <c r="O10" i="27"/>
  <c r="N10" i="27"/>
  <c r="N9" i="27"/>
  <c r="L400" i="25"/>
  <c r="L399" i="25"/>
  <c r="L398" i="25"/>
  <c r="L397" i="25"/>
  <c r="L396" i="25"/>
  <c r="L395" i="25"/>
  <c r="M356" i="25"/>
  <c r="H72" i="10"/>
  <c r="H71" i="10"/>
  <c r="H69" i="10"/>
  <c r="H68" i="10"/>
  <c r="H70" i="10"/>
  <c r="H67" i="10"/>
  <c r="M350" i="25"/>
  <c r="M349" i="25"/>
  <c r="E19" i="10"/>
  <c r="E20" i="10"/>
  <c r="E21" i="10"/>
  <c r="E22" i="10"/>
  <c r="E18" i="10"/>
  <c r="E17" i="10"/>
  <c r="M357" i="25"/>
  <c r="H397" i="25"/>
  <c r="J365" i="25"/>
  <c r="J363" i="25"/>
  <c r="M362" i="25"/>
  <c r="M358" i="25"/>
  <c r="M359" i="25"/>
  <c r="M360" i="25"/>
  <c r="M361" i="25"/>
  <c r="L362" i="25"/>
  <c r="L361" i="25"/>
  <c r="L360" i="25"/>
  <c r="L359" i="25"/>
  <c r="L358" i="25"/>
  <c r="L357" i="25"/>
  <c r="L356" i="25"/>
  <c r="J356" i="25"/>
  <c r="K359" i="25"/>
  <c r="K360" i="25"/>
  <c r="K361" i="25"/>
  <c r="K362" i="25"/>
  <c r="K358" i="25"/>
  <c r="K357" i="25"/>
  <c r="Q257" i="27"/>
  <c r="P257" i="27"/>
  <c r="R232" i="27"/>
  <c r="Q232" i="27"/>
  <c r="K20" i="20"/>
  <c r="K21" i="20"/>
  <c r="K22" i="20"/>
  <c r="K23" i="20"/>
  <c r="K24" i="20"/>
  <c r="K25" i="20"/>
  <c r="K26" i="20"/>
  <c r="K19" i="20"/>
  <c r="J6" i="20"/>
  <c r="K6" i="20"/>
  <c r="L6" i="20"/>
  <c r="J7" i="20"/>
  <c r="K7" i="20"/>
  <c r="L7" i="20"/>
  <c r="J8" i="20"/>
  <c r="K8" i="20"/>
  <c r="L8" i="20"/>
  <c r="J9" i="20"/>
  <c r="K9" i="20"/>
  <c r="L9" i="20"/>
  <c r="J10" i="20"/>
  <c r="K10" i="20"/>
  <c r="L10" i="20"/>
  <c r="J11" i="20"/>
  <c r="K11" i="20"/>
  <c r="L11" i="20"/>
  <c r="J12" i="20"/>
  <c r="K12" i="20"/>
  <c r="L12" i="20"/>
  <c r="J13" i="20"/>
  <c r="K13" i="20"/>
  <c r="L13" i="20"/>
  <c r="J14" i="20"/>
  <c r="K14" i="20"/>
  <c r="L14" i="20"/>
  <c r="J15" i="20"/>
  <c r="K15" i="20"/>
  <c r="L15" i="20"/>
  <c r="K5" i="20"/>
  <c r="L5" i="20"/>
  <c r="J5" i="20"/>
  <c r="E6" i="20"/>
  <c r="F6" i="20"/>
  <c r="G6" i="20"/>
  <c r="E7" i="20"/>
  <c r="F7" i="20"/>
  <c r="G7" i="20"/>
  <c r="E8" i="20"/>
  <c r="F8" i="20"/>
  <c r="G8" i="20"/>
  <c r="E9" i="20"/>
  <c r="F9" i="20"/>
  <c r="G9" i="20"/>
  <c r="E10" i="20"/>
  <c r="F10" i="20"/>
  <c r="G10" i="20"/>
  <c r="E11" i="20"/>
  <c r="F11" i="20"/>
  <c r="G11" i="20"/>
  <c r="E12" i="20"/>
  <c r="F12" i="20"/>
  <c r="G12" i="20"/>
  <c r="E13" i="20"/>
  <c r="F13" i="20"/>
  <c r="G13" i="20"/>
  <c r="F5" i="20"/>
  <c r="G5" i="20"/>
  <c r="E5" i="20"/>
  <c r="E29" i="18"/>
  <c r="E30" i="18"/>
  <c r="E31" i="18"/>
  <c r="E32" i="18"/>
  <c r="E28" i="18"/>
  <c r="K20" i="18"/>
  <c r="K21" i="18"/>
  <c r="K22" i="18"/>
  <c r="K23" i="18"/>
  <c r="K24" i="18"/>
  <c r="K25" i="18"/>
  <c r="K26" i="18"/>
  <c r="K19" i="18"/>
  <c r="J6" i="18"/>
  <c r="K6" i="18"/>
  <c r="L6" i="18"/>
  <c r="J7" i="18"/>
  <c r="K7" i="18"/>
  <c r="L7" i="18"/>
  <c r="J8" i="18"/>
  <c r="K8" i="18"/>
  <c r="L8" i="18"/>
  <c r="J9" i="18"/>
  <c r="K9" i="18"/>
  <c r="L9" i="18"/>
  <c r="J10" i="18"/>
  <c r="K10" i="18"/>
  <c r="L10" i="18"/>
  <c r="J11" i="18"/>
  <c r="K11" i="18"/>
  <c r="L11" i="18"/>
  <c r="J12" i="18"/>
  <c r="K12" i="18"/>
  <c r="L12" i="18"/>
  <c r="J13" i="18"/>
  <c r="K13" i="18"/>
  <c r="L13" i="18"/>
  <c r="J14" i="18"/>
  <c r="K14" i="18"/>
  <c r="L14" i="18"/>
  <c r="J15" i="18"/>
  <c r="K15" i="18"/>
  <c r="L15" i="18"/>
  <c r="K5" i="18"/>
  <c r="L5" i="18"/>
  <c r="J5" i="18"/>
  <c r="E6" i="18"/>
  <c r="F6" i="18"/>
  <c r="G6" i="18"/>
  <c r="E7" i="18"/>
  <c r="F7" i="18"/>
  <c r="G7" i="18"/>
  <c r="E8" i="18"/>
  <c r="F8" i="18"/>
  <c r="G8" i="18"/>
  <c r="E9" i="18"/>
  <c r="F9" i="18"/>
  <c r="G9" i="18"/>
  <c r="E10" i="18"/>
  <c r="F10" i="18"/>
  <c r="G10" i="18"/>
  <c r="E11" i="18"/>
  <c r="F11" i="18"/>
  <c r="G11" i="18"/>
  <c r="E12" i="18"/>
  <c r="F12" i="18"/>
  <c r="G12" i="18"/>
  <c r="E13" i="18"/>
  <c r="F13" i="18"/>
  <c r="G13" i="18"/>
  <c r="F5" i="18"/>
  <c r="G5" i="18"/>
  <c r="E5" i="18"/>
  <c r="K21" i="19"/>
  <c r="K22" i="19"/>
  <c r="K23" i="19"/>
  <c r="K24" i="19"/>
  <c r="K25" i="19"/>
  <c r="K26" i="19"/>
  <c r="K20" i="19"/>
  <c r="K19" i="19"/>
  <c r="K11" i="19"/>
  <c r="J11" i="19"/>
  <c r="L10" i="19"/>
  <c r="K10" i="19"/>
  <c r="J10" i="19"/>
  <c r="L9" i="19"/>
  <c r="K9" i="19"/>
  <c r="J9" i="19"/>
  <c r="L8" i="19"/>
  <c r="K8" i="19"/>
  <c r="J8" i="19"/>
  <c r="L7" i="19"/>
  <c r="K7" i="19"/>
  <c r="J7" i="19"/>
  <c r="L6" i="19"/>
  <c r="K6" i="19"/>
  <c r="J6" i="19"/>
  <c r="L5" i="19"/>
  <c r="K5" i="19"/>
  <c r="J5" i="19"/>
  <c r="G13" i="19"/>
  <c r="F13" i="19"/>
  <c r="E13" i="19"/>
  <c r="G12" i="19"/>
  <c r="F12" i="19"/>
  <c r="E12" i="19"/>
  <c r="G11" i="19"/>
  <c r="F11" i="19"/>
  <c r="E11" i="19"/>
  <c r="G10" i="19"/>
  <c r="F10" i="19"/>
  <c r="E10" i="19"/>
  <c r="G9" i="19"/>
  <c r="F9" i="19"/>
  <c r="E9" i="19"/>
  <c r="G8" i="19"/>
  <c r="F8" i="19"/>
  <c r="E8" i="19"/>
  <c r="G7" i="19"/>
  <c r="F7" i="19"/>
  <c r="E7" i="19"/>
  <c r="G6" i="19"/>
  <c r="F6" i="19"/>
  <c r="E6" i="19"/>
  <c r="G5" i="19"/>
  <c r="F5" i="19"/>
  <c r="E5" i="19"/>
  <c r="F35" i="17"/>
  <c r="F34" i="17"/>
  <c r="F33" i="17"/>
  <c r="F32" i="17"/>
  <c r="F31" i="17"/>
  <c r="F30" i="17"/>
  <c r="F29" i="17"/>
  <c r="F28" i="17"/>
  <c r="J23" i="17"/>
  <c r="J22" i="17"/>
  <c r="J21" i="17"/>
  <c r="J20" i="17"/>
  <c r="J19" i="17"/>
  <c r="L15" i="17"/>
  <c r="K15" i="17"/>
  <c r="J15" i="17"/>
  <c r="L14" i="17"/>
  <c r="K14" i="17"/>
  <c r="J14" i="17"/>
  <c r="L13" i="17"/>
  <c r="K13" i="17"/>
  <c r="J13" i="17"/>
  <c r="L12" i="17"/>
  <c r="K12" i="17"/>
  <c r="J12" i="17"/>
  <c r="L11" i="17"/>
  <c r="K11" i="17"/>
  <c r="J11" i="17"/>
  <c r="L10" i="17"/>
  <c r="K10" i="17"/>
  <c r="J10" i="17"/>
  <c r="L9" i="17"/>
  <c r="K9" i="17"/>
  <c r="J9" i="17"/>
  <c r="L8" i="17"/>
  <c r="K8" i="17"/>
  <c r="J8" i="17"/>
  <c r="L7" i="17"/>
  <c r="K7" i="17"/>
  <c r="J7" i="17"/>
  <c r="L6" i="17"/>
  <c r="K6" i="17"/>
  <c r="J6" i="17"/>
  <c r="L5" i="17"/>
  <c r="K5" i="17"/>
  <c r="J5" i="17"/>
  <c r="G13" i="17"/>
  <c r="F13" i="17"/>
  <c r="E13" i="17"/>
  <c r="G12" i="17"/>
  <c r="F12" i="17"/>
  <c r="E12" i="17"/>
  <c r="G11" i="17"/>
  <c r="F11" i="17"/>
  <c r="E11" i="17"/>
  <c r="G10" i="17"/>
  <c r="F10" i="17"/>
  <c r="E10" i="17"/>
  <c r="G9" i="17"/>
  <c r="F9" i="17"/>
  <c r="E9" i="17"/>
  <c r="G8" i="17"/>
  <c r="F8" i="17"/>
  <c r="E8" i="17"/>
  <c r="G7" i="17"/>
  <c r="F7" i="17"/>
  <c r="E7" i="17"/>
  <c r="G6" i="17"/>
  <c r="F6" i="17"/>
  <c r="E6" i="17"/>
  <c r="G5" i="17"/>
  <c r="F5" i="17"/>
  <c r="E5" i="17"/>
  <c r="F9" i="29"/>
  <c r="F11" i="29"/>
  <c r="F10" i="29"/>
  <c r="F8" i="29"/>
  <c r="F7" i="29"/>
  <c r="F6" i="29"/>
  <c r="J41" i="8"/>
  <c r="J40" i="8"/>
  <c r="J39" i="8"/>
  <c r="J38" i="8"/>
  <c r="J37" i="8"/>
  <c r="J36" i="8"/>
  <c r="K21" i="10"/>
  <c r="K22" i="10"/>
  <c r="K23" i="10"/>
  <c r="K24" i="10"/>
  <c r="K25" i="10"/>
  <c r="K26" i="10"/>
  <c r="K20" i="10"/>
  <c r="K19" i="10"/>
  <c r="J11" i="10"/>
  <c r="L10" i="10"/>
  <c r="K10" i="10"/>
  <c r="J10" i="10"/>
  <c r="L9" i="10"/>
  <c r="K9" i="10"/>
  <c r="J9" i="10"/>
  <c r="L8" i="10"/>
  <c r="K8" i="10"/>
  <c r="J8" i="10"/>
  <c r="J7" i="10"/>
  <c r="L6" i="10"/>
  <c r="K6" i="10"/>
  <c r="J6" i="10"/>
  <c r="L5" i="10"/>
  <c r="K5" i="10"/>
  <c r="J5" i="10"/>
  <c r="G12" i="10"/>
  <c r="F12" i="10"/>
  <c r="E12" i="10"/>
  <c r="G11" i="10"/>
  <c r="F11" i="10"/>
  <c r="E11" i="10"/>
  <c r="G10" i="10"/>
  <c r="F10" i="10"/>
  <c r="E10" i="10"/>
  <c r="G8" i="10"/>
  <c r="F8" i="10"/>
  <c r="E8" i="10"/>
  <c r="G7" i="10"/>
  <c r="F7" i="10"/>
  <c r="E7" i="10"/>
  <c r="G6" i="10"/>
  <c r="F6" i="10"/>
  <c r="E6" i="10"/>
  <c r="G5" i="10"/>
  <c r="F5" i="10"/>
  <c r="E5" i="10"/>
  <c r="P91" i="27"/>
  <c r="E24" i="31"/>
  <c r="K350" i="25"/>
  <c r="P118" i="27" a="1"/>
  <c r="P118" i="27" s="1"/>
  <c r="O118" i="27" a="1"/>
  <c r="O118" i="27" s="1"/>
  <c r="N118" i="27" a="1"/>
  <c r="N118" i="27" s="1"/>
  <c r="N117" i="27" a="1"/>
  <c r="N117" i="27" s="1"/>
  <c r="P117" i="27" a="1"/>
  <c r="P117" i="27" s="1"/>
  <c r="O117" i="27" a="1"/>
  <c r="O117" i="27" s="1"/>
  <c r="L143" i="33" a="1"/>
  <c r="L143" i="33" s="1"/>
  <c r="O103" i="27" s="1"/>
  <c r="L142" i="33" a="1"/>
  <c r="L142" i="33" s="1"/>
  <c r="N103" i="27" s="1"/>
  <c r="O91" i="27"/>
  <c r="N91" i="27"/>
  <c r="P90" i="27"/>
  <c r="O90" i="27"/>
  <c r="N90" i="27"/>
  <c r="P89" i="27"/>
  <c r="O89" i="27"/>
  <c r="N89" i="27"/>
  <c r="P103" i="27"/>
  <c r="P102" i="27"/>
  <c r="O102" i="27"/>
  <c r="N102" i="27"/>
  <c r="E26" i="31"/>
  <c r="E25" i="31"/>
  <c r="M269" i="22"/>
  <c r="M268" i="22"/>
  <c r="M267" i="22"/>
  <c r="M266" i="22"/>
  <c r="M265" i="22"/>
  <c r="M264" i="22"/>
  <c r="M263" i="22"/>
  <c r="K263" i="22"/>
  <c r="K269" i="22"/>
  <c r="K268" i="22"/>
  <c r="K267" i="22"/>
  <c r="K266" i="22"/>
  <c r="K265" i="22"/>
  <c r="K264" i="22"/>
  <c r="H4" i="22" a="1"/>
  <c r="H4" i="22" s="1"/>
  <c r="K23" i="22" s="1"/>
  <c r="H5" i="22" a="1"/>
  <c r="H5" i="22" s="1"/>
  <c r="H7" i="22" a="1"/>
  <c r="H7" i="22" s="1"/>
  <c r="H8" i="22" a="1"/>
  <c r="H8" i="22" s="1"/>
  <c r="H9" i="22" a="1"/>
  <c r="H9" i="22" s="1"/>
  <c r="H10" i="22" a="1"/>
  <c r="H10" i="22" s="1"/>
  <c r="H6" i="22" a="1"/>
  <c r="H6" i="22" s="1"/>
  <c r="K355" i="25"/>
  <c r="K354" i="25"/>
  <c r="K353" i="25"/>
  <c r="K352" i="25"/>
  <c r="K351" i="25"/>
  <c r="L351" i="25"/>
  <c r="L355" i="25"/>
  <c r="L354" i="25"/>
  <c r="L353" i="25"/>
  <c r="L352" i="25"/>
  <c r="L349" i="25"/>
  <c r="L350" i="25"/>
  <c r="H67" i="33"/>
  <c r="S124" i="33" s="1"/>
  <c r="F123" i="29"/>
  <c r="F122" i="29"/>
  <c r="F121" i="29"/>
  <c r="M271" i="26"/>
  <c r="L283" i="26"/>
  <c r="L282" i="26"/>
  <c r="L281" i="26"/>
  <c r="L280" i="26"/>
  <c r="L279" i="26"/>
  <c r="L278" i="26"/>
  <c r="L277" i="26"/>
  <c r="L276" i="26"/>
  <c r="L275" i="26"/>
  <c r="L274" i="26"/>
  <c r="L273" i="26"/>
  <c r="L272" i="26"/>
  <c r="L271" i="26"/>
  <c r="K283" i="26"/>
  <c r="K282" i="26"/>
  <c r="K281" i="26"/>
  <c r="K280" i="26"/>
  <c r="K279" i="26"/>
  <c r="M279" i="26" s="1"/>
  <c r="K278" i="26"/>
  <c r="K277" i="26"/>
  <c r="K276" i="26"/>
  <c r="M276" i="26" s="1"/>
  <c r="K275" i="26"/>
  <c r="K274" i="26"/>
  <c r="K273" i="26"/>
  <c r="K272" i="26"/>
  <c r="K271" i="26"/>
  <c r="M264" i="26"/>
  <c r="L267" i="26"/>
  <c r="L266" i="26"/>
  <c r="L265" i="26"/>
  <c r="M265" i="26" s="1"/>
  <c r="K267" i="26"/>
  <c r="M267" i="26" s="1"/>
  <c r="K266" i="26"/>
  <c r="M266" i="26" s="1"/>
  <c r="K265" i="26"/>
  <c r="K264" i="26"/>
  <c r="K294" i="22"/>
  <c r="K293" i="22"/>
  <c r="K292" i="22"/>
  <c r="K291" i="22"/>
  <c r="K290" i="22"/>
  <c r="K289" i="22"/>
  <c r="K288" i="22"/>
  <c r="K287" i="22"/>
  <c r="K286" i="22"/>
  <c r="K285" i="22"/>
  <c r="K284" i="22"/>
  <c r="K283" i="22"/>
  <c r="K282" i="22"/>
  <c r="L294" i="22"/>
  <c r="L293" i="22"/>
  <c r="L292" i="22"/>
  <c r="L291" i="22"/>
  <c r="L290" i="22"/>
  <c r="L289" i="22"/>
  <c r="L288" i="22"/>
  <c r="L287" i="22"/>
  <c r="L286" i="22"/>
  <c r="L285" i="22"/>
  <c r="L284" i="22"/>
  <c r="L283" i="22"/>
  <c r="L282" i="22"/>
  <c r="L278" i="22"/>
  <c r="L277" i="22"/>
  <c r="L276" i="22"/>
  <c r="L275" i="22"/>
  <c r="K278" i="22"/>
  <c r="K277" i="22"/>
  <c r="K276" i="22"/>
  <c r="K275" i="22"/>
  <c r="M369" i="25"/>
  <c r="L387" i="25"/>
  <c r="L386" i="25"/>
  <c r="L385" i="25"/>
  <c r="L384" i="25"/>
  <c r="L383" i="25"/>
  <c r="L382" i="25"/>
  <c r="L381" i="25"/>
  <c r="L380" i="25"/>
  <c r="L379" i="25"/>
  <c r="L378" i="25"/>
  <c r="L377" i="25"/>
  <c r="L376" i="25"/>
  <c r="L375" i="25"/>
  <c r="K387" i="25"/>
  <c r="K386" i="25"/>
  <c r="K385" i="25"/>
  <c r="K384" i="25"/>
  <c r="K383" i="25"/>
  <c r="K382" i="25"/>
  <c r="K381" i="25"/>
  <c r="K380" i="25"/>
  <c r="K379" i="25"/>
  <c r="K378" i="25"/>
  <c r="K377" i="25"/>
  <c r="K376" i="25"/>
  <c r="K375" i="25"/>
  <c r="L371" i="25"/>
  <c r="L370" i="25"/>
  <c r="L369" i="25"/>
  <c r="L368" i="25"/>
  <c r="K371" i="25"/>
  <c r="K370" i="25"/>
  <c r="K369" i="25"/>
  <c r="K368" i="25"/>
  <c r="O9" i="27" l="1"/>
  <c r="M268" i="26"/>
  <c r="M277" i="22"/>
  <c r="M278" i="22"/>
  <c r="M276" i="22"/>
  <c r="M275" i="22"/>
  <c r="T86" i="33"/>
  <c r="Q105" i="33"/>
  <c r="AA127" i="33"/>
  <c r="K126" i="33"/>
  <c r="I108" i="33"/>
  <c r="AC103" i="33"/>
  <c r="R122" i="33"/>
  <c r="I103" i="33"/>
  <c r="Q122" i="33"/>
  <c r="V114" i="33"/>
  <c r="W133" i="33"/>
  <c r="T114" i="33"/>
  <c r="U133" i="33"/>
  <c r="R110" i="33"/>
  <c r="T128" i="33"/>
  <c r="P110" i="33"/>
  <c r="K110" i="33"/>
  <c r="X109" i="33"/>
  <c r="I126" i="33"/>
  <c r="T112" i="33"/>
  <c r="T107" i="33"/>
  <c r="AB131" i="33"/>
  <c r="O114" i="33"/>
  <c r="V107" i="33"/>
  <c r="AC131" i="33"/>
  <c r="AC91" i="33"/>
  <c r="R112" i="33"/>
  <c r="S107" i="33"/>
  <c r="I131" i="33"/>
  <c r="U91" i="33"/>
  <c r="M112" i="33"/>
  <c r="G106" i="33"/>
  <c r="W128" i="33"/>
  <c r="T91" i="33"/>
  <c r="Z111" i="33"/>
  <c r="T105" i="33"/>
  <c r="U128" i="33"/>
  <c r="F113" i="33"/>
  <c r="N108" i="33"/>
  <c r="T122" i="33"/>
  <c r="P129" i="33"/>
  <c r="R105" i="33"/>
  <c r="K131" i="33"/>
  <c r="H126" i="33"/>
  <c r="O125" i="33"/>
  <c r="AB113" i="33"/>
  <c r="V109" i="33"/>
  <c r="F105" i="33"/>
  <c r="H131" i="33"/>
  <c r="M125" i="33"/>
  <c r="AB103" i="33"/>
  <c r="Z113" i="33"/>
  <c r="X111" i="33"/>
  <c r="U109" i="33"/>
  <c r="H107" i="33"/>
  <c r="X104" i="33"/>
  <c r="T133" i="33"/>
  <c r="O130" i="33"/>
  <c r="Y127" i="33"/>
  <c r="L125" i="33"/>
  <c r="W111" i="33"/>
  <c r="Z106" i="33"/>
  <c r="W104" i="33"/>
  <c r="AA132" i="33"/>
  <c r="M130" i="33"/>
  <c r="X127" i="33"/>
  <c r="O85" i="33"/>
  <c r="I123" i="33"/>
  <c r="X123" i="33"/>
  <c r="T124" i="33"/>
  <c r="P125" i="33"/>
  <c r="L126" i="33"/>
  <c r="H127" i="33"/>
  <c r="AB127" i="33"/>
  <c r="X128" i="33"/>
  <c r="T129" i="33"/>
  <c r="P130" i="33"/>
  <c r="L131" i="33"/>
  <c r="H132" i="33"/>
  <c r="AB132" i="33"/>
  <c r="X133" i="33"/>
  <c r="U122" i="33"/>
  <c r="M104" i="33"/>
  <c r="G105" i="33"/>
  <c r="U105" i="33"/>
  <c r="O106" i="33"/>
  <c r="I107" i="33"/>
  <c r="W107" i="33"/>
  <c r="Q108" i="33"/>
  <c r="K109" i="33"/>
  <c r="Y109" i="33"/>
  <c r="S110" i="33"/>
  <c r="M111" i="33"/>
  <c r="AA111" i="33"/>
  <c r="U112" i="33"/>
  <c r="O113" i="33"/>
  <c r="AC113" i="33"/>
  <c r="W114" i="33"/>
  <c r="R103" i="33"/>
  <c r="U86" i="33"/>
  <c r="K93" i="33"/>
  <c r="V130" i="33"/>
  <c r="R131" i="33"/>
  <c r="N132" i="33"/>
  <c r="J133" i="33"/>
  <c r="G122" i="33"/>
  <c r="Z122" i="33"/>
  <c r="N104" i="33"/>
  <c r="H105" i="33"/>
  <c r="Z105" i="33"/>
  <c r="J107" i="33"/>
  <c r="AB107" i="33"/>
  <c r="R108" i="33"/>
  <c r="L109" i="33"/>
  <c r="F110" i="33"/>
  <c r="T110" i="33"/>
  <c r="N111" i="33"/>
  <c r="H112" i="33"/>
  <c r="P113" i="33"/>
  <c r="J114" i="33"/>
  <c r="X114" i="33"/>
  <c r="S103" i="33"/>
  <c r="AA87" i="33"/>
  <c r="L114" i="33"/>
  <c r="Y125" i="33"/>
  <c r="Q132" i="33"/>
  <c r="U104" i="33"/>
  <c r="W106" i="33"/>
  <c r="Y108" i="33"/>
  <c r="AA110" i="33"/>
  <c r="AC112" i="33"/>
  <c r="H103" i="33"/>
  <c r="Y95" i="33"/>
  <c r="J124" i="33"/>
  <c r="R127" i="33"/>
  <c r="J129" i="33"/>
  <c r="Z130" i="33"/>
  <c r="R132" i="33"/>
  <c r="F122" i="33"/>
  <c r="P105" i="33"/>
  <c r="R107" i="33"/>
  <c r="T109" i="33"/>
  <c r="V111" i="33"/>
  <c r="X113" i="33"/>
  <c r="J123" i="33"/>
  <c r="F124" i="33"/>
  <c r="Z124" i="33"/>
  <c r="V125" i="33"/>
  <c r="R126" i="33"/>
  <c r="N127" i="33"/>
  <c r="J128" i="33"/>
  <c r="F129" i="33"/>
  <c r="Z129" i="33"/>
  <c r="P106" i="33"/>
  <c r="V112" i="33"/>
  <c r="S94" i="33"/>
  <c r="M88" i="33"/>
  <c r="I124" i="33"/>
  <c r="U131" i="33"/>
  <c r="AC122" i="33"/>
  <c r="AC105" i="33"/>
  <c r="G108" i="33"/>
  <c r="I110" i="33"/>
  <c r="K112" i="33"/>
  <c r="M114" i="33"/>
  <c r="V88" i="33"/>
  <c r="F125" i="33"/>
  <c r="V126" i="33"/>
  <c r="N128" i="33"/>
  <c r="F130" i="33"/>
  <c r="V131" i="33"/>
  <c r="K122" i="33"/>
  <c r="V104" i="33"/>
  <c r="X106" i="33"/>
  <c r="Z108" i="33"/>
  <c r="AB110" i="33"/>
  <c r="L112" i="33"/>
  <c r="N114" i="33"/>
  <c r="K123" i="33"/>
  <c r="G124" i="33"/>
  <c r="AA124" i="33"/>
  <c r="W125" i="33"/>
  <c r="S126" i="33"/>
  <c r="O127" i="33"/>
  <c r="K128" i="33"/>
  <c r="G129" i="33"/>
  <c r="AA129" i="33"/>
  <c r="W130" i="33"/>
  <c r="S131" i="33"/>
  <c r="O132" i="33"/>
  <c r="K133" i="33"/>
  <c r="H122" i="33"/>
  <c r="AA122" i="33"/>
  <c r="O104" i="33"/>
  <c r="I105" i="33"/>
  <c r="AA105" i="33"/>
  <c r="Q106" i="33"/>
  <c r="K107" i="33"/>
  <c r="AC107" i="33"/>
  <c r="S108" i="33"/>
  <c r="M109" i="33"/>
  <c r="G110" i="33"/>
  <c r="U110" i="33"/>
  <c r="O111" i="33"/>
  <c r="I112" i="33"/>
  <c r="W112" i="33"/>
  <c r="Q113" i="33"/>
  <c r="K114" i="33"/>
  <c r="Y114" i="33"/>
  <c r="T103" i="33"/>
  <c r="L88" i="33"/>
  <c r="AA94" i="33"/>
  <c r="H124" i="33"/>
  <c r="AB124" i="33"/>
  <c r="X125" i="33"/>
  <c r="T126" i="33"/>
  <c r="P127" i="33"/>
  <c r="L128" i="33"/>
  <c r="H129" i="33"/>
  <c r="AB129" i="33"/>
  <c r="X130" i="33"/>
  <c r="T131" i="33"/>
  <c r="P132" i="33"/>
  <c r="L133" i="33"/>
  <c r="I122" i="33"/>
  <c r="AB122" i="33"/>
  <c r="T104" i="33"/>
  <c r="J105" i="33"/>
  <c r="AB105" i="33"/>
  <c r="V106" i="33"/>
  <c r="L107" i="33"/>
  <c r="F108" i="33"/>
  <c r="X108" i="33"/>
  <c r="N109" i="33"/>
  <c r="H110" i="33"/>
  <c r="Z110" i="33"/>
  <c r="P111" i="33"/>
  <c r="J112" i="33"/>
  <c r="AB112" i="33"/>
  <c r="R113" i="33"/>
  <c r="G103" i="33"/>
  <c r="U103" i="33"/>
  <c r="X95" i="33"/>
  <c r="AC124" i="33"/>
  <c r="U126" i="33"/>
  <c r="Q127" i="33"/>
  <c r="M128" i="33"/>
  <c r="I129" i="33"/>
  <c r="AC129" i="33"/>
  <c r="Y130" i="33"/>
  <c r="M133" i="33"/>
  <c r="J122" i="33"/>
  <c r="K105" i="33"/>
  <c r="M107" i="33"/>
  <c r="O109" i="33"/>
  <c r="Q111" i="33"/>
  <c r="S113" i="33"/>
  <c r="V103" i="33"/>
  <c r="Z125" i="33"/>
  <c r="N133" i="33"/>
  <c r="F106" i="33"/>
  <c r="H108" i="33"/>
  <c r="J110" i="33"/>
  <c r="L123" i="33"/>
  <c r="M123" i="33"/>
  <c r="N123" i="33"/>
  <c r="T123" i="33"/>
  <c r="U123" i="33"/>
  <c r="V123" i="33"/>
  <c r="R124" i="33"/>
  <c r="N125" i="33"/>
  <c r="J126" i="33"/>
  <c r="F127" i="33"/>
  <c r="Z127" i="33"/>
  <c r="V128" i="33"/>
  <c r="R129" i="33"/>
  <c r="N130" i="33"/>
  <c r="J131" i="33"/>
  <c r="F132" i="33"/>
  <c r="Z132" i="33"/>
  <c r="V133" i="33"/>
  <c r="S122" i="33"/>
  <c r="K104" i="33"/>
  <c r="Y104" i="33"/>
  <c r="S105" i="33"/>
  <c r="M106" i="33"/>
  <c r="AA106" i="33"/>
  <c r="U107" i="33"/>
  <c r="O108" i="33"/>
  <c r="AC108" i="33"/>
  <c r="W109" i="33"/>
  <c r="Q110" i="33"/>
  <c r="G111" i="33"/>
  <c r="Y111" i="33"/>
  <c r="S112" i="33"/>
  <c r="I113" i="33"/>
  <c r="AA113" i="33"/>
  <c r="U114" i="33"/>
  <c r="L103" i="33"/>
  <c r="F84" i="33"/>
  <c r="F92" i="33"/>
  <c r="AA103" i="33"/>
  <c r="Y113" i="33"/>
  <c r="J109" i="33"/>
  <c r="K84" i="33"/>
  <c r="Q103" i="33"/>
  <c r="N113" i="33"/>
  <c r="L111" i="33"/>
  <c r="AB108" i="33"/>
  <c r="Y106" i="33"/>
  <c r="L104" i="33"/>
  <c r="Y132" i="33"/>
  <c r="L130" i="33"/>
  <c r="G127" i="33"/>
  <c r="Q124" i="33"/>
  <c r="J84" i="33"/>
  <c r="K103" i="33"/>
  <c r="H113" i="33"/>
  <c r="F111" i="33"/>
  <c r="AA108" i="33"/>
  <c r="N106" i="33"/>
  <c r="J104" i="33"/>
  <c r="X132" i="33"/>
  <c r="S129" i="33"/>
  <c r="AC126" i="33"/>
  <c r="P124" i="33"/>
  <c r="AA92" i="33"/>
  <c r="J103" i="33"/>
  <c r="G113" i="33"/>
  <c r="AC110" i="33"/>
  <c r="P108" i="33"/>
  <c r="L106" i="33"/>
  <c r="F103" i="33"/>
  <c r="G132" i="33"/>
  <c r="Q129" i="33"/>
  <c r="AB126" i="33"/>
  <c r="W123" i="33"/>
  <c r="L93" i="33"/>
  <c r="AC89" i="33"/>
  <c r="W103" i="33"/>
  <c r="M103" i="33"/>
  <c r="Z114" i="33"/>
  <c r="P114" i="33"/>
  <c r="F114" i="33"/>
  <c r="T113" i="33"/>
  <c r="J113" i="33"/>
  <c r="X112" i="33"/>
  <c r="N112" i="33"/>
  <c r="AB111" i="33"/>
  <c r="R111" i="33"/>
  <c r="H111" i="33"/>
  <c r="V110" i="33"/>
  <c r="L110" i="33"/>
  <c r="Z109" i="33"/>
  <c r="P109" i="33"/>
  <c r="F109" i="33"/>
  <c r="T108" i="33"/>
  <c r="J108" i="33"/>
  <c r="X107" i="33"/>
  <c r="N107" i="33"/>
  <c r="AB106" i="33"/>
  <c r="R106" i="33"/>
  <c r="H106" i="33"/>
  <c r="V105" i="33"/>
  <c r="L105" i="33"/>
  <c r="Z104" i="33"/>
  <c r="P104" i="33"/>
  <c r="F104" i="33"/>
  <c r="V122" i="33"/>
  <c r="L122" i="33"/>
  <c r="Y133" i="33"/>
  <c r="O133" i="33"/>
  <c r="AC132" i="33"/>
  <c r="S132" i="33"/>
  <c r="I132" i="33"/>
  <c r="W131" i="33"/>
  <c r="M131" i="33"/>
  <c r="AA130" i="33"/>
  <c r="Q130" i="33"/>
  <c r="G130" i="33"/>
  <c r="U129" i="33"/>
  <c r="K129" i="33"/>
  <c r="Y128" i="33"/>
  <c r="O128" i="33"/>
  <c r="AC127" i="33"/>
  <c r="S127" i="33"/>
  <c r="I127" i="33"/>
  <c r="W126" i="33"/>
  <c r="M126" i="33"/>
  <c r="AA125" i="33"/>
  <c r="Q125" i="33"/>
  <c r="G125" i="33"/>
  <c r="U124" i="33"/>
  <c r="K124" i="33"/>
  <c r="Y123" i="33"/>
  <c r="O123" i="33"/>
  <c r="AC133" i="33"/>
  <c r="I133" i="33"/>
  <c r="M132" i="33"/>
  <c r="Q131" i="33"/>
  <c r="U130" i="33"/>
  <c r="Y129" i="33"/>
  <c r="AC128" i="33"/>
  <c r="I128" i="33"/>
  <c r="W127" i="33"/>
  <c r="AA126" i="33"/>
  <c r="Q126" i="33"/>
  <c r="G126" i="33"/>
  <c r="U125" i="33"/>
  <c r="K125" i="33"/>
  <c r="Y124" i="33"/>
  <c r="O124" i="33"/>
  <c r="S123" i="33"/>
  <c r="R94" i="33"/>
  <c r="W90" i="33"/>
  <c r="S86" i="33"/>
  <c r="Z103" i="33"/>
  <c r="P103" i="33"/>
  <c r="AC114" i="33"/>
  <c r="S114" i="33"/>
  <c r="I114" i="33"/>
  <c r="W113" i="33"/>
  <c r="M113" i="33"/>
  <c r="AA112" i="33"/>
  <c r="Q112" i="33"/>
  <c r="G112" i="33"/>
  <c r="U111" i="33"/>
  <c r="K111" i="33"/>
  <c r="Y110" i="33"/>
  <c r="O110" i="33"/>
  <c r="AC109" i="33"/>
  <c r="S109" i="33"/>
  <c r="I109" i="33"/>
  <c r="W108" i="33"/>
  <c r="M108" i="33"/>
  <c r="AA107" i="33"/>
  <c r="Q107" i="33"/>
  <c r="G107" i="33"/>
  <c r="U106" i="33"/>
  <c r="K106" i="33"/>
  <c r="Y105" i="33"/>
  <c r="O105" i="33"/>
  <c r="AC104" i="33"/>
  <c r="S104" i="33"/>
  <c r="I104" i="33"/>
  <c r="Y122" i="33"/>
  <c r="O122" i="33"/>
  <c r="AB133" i="33"/>
  <c r="R133" i="33"/>
  <c r="H133" i="33"/>
  <c r="V132" i="33"/>
  <c r="L132" i="33"/>
  <c r="Z131" i="33"/>
  <c r="P131" i="33"/>
  <c r="F131" i="33"/>
  <c r="T130" i="33"/>
  <c r="J130" i="33"/>
  <c r="X129" i="33"/>
  <c r="N129" i="33"/>
  <c r="AB128" i="33"/>
  <c r="R128" i="33"/>
  <c r="H128" i="33"/>
  <c r="V127" i="33"/>
  <c r="L127" i="33"/>
  <c r="Z126" i="33"/>
  <c r="P126" i="33"/>
  <c r="F126" i="33"/>
  <c r="T125" i="33"/>
  <c r="J125" i="33"/>
  <c r="X124" i="33"/>
  <c r="N124" i="33"/>
  <c r="AB123" i="33"/>
  <c r="R123" i="33"/>
  <c r="H123" i="33"/>
  <c r="P122" i="33"/>
  <c r="S133" i="33"/>
  <c r="W132" i="33"/>
  <c r="AA131" i="33"/>
  <c r="G131" i="33"/>
  <c r="K130" i="33"/>
  <c r="O129" i="33"/>
  <c r="S128" i="33"/>
  <c r="M127" i="33"/>
  <c r="AC123" i="33"/>
  <c r="Q94" i="33"/>
  <c r="O90" i="33"/>
  <c r="K86" i="33"/>
  <c r="Y103" i="33"/>
  <c r="O103" i="33"/>
  <c r="AB114" i="33"/>
  <c r="R114" i="33"/>
  <c r="H114" i="33"/>
  <c r="V113" i="33"/>
  <c r="L113" i="33"/>
  <c r="Z112" i="33"/>
  <c r="P112" i="33"/>
  <c r="F112" i="33"/>
  <c r="T111" i="33"/>
  <c r="J111" i="33"/>
  <c r="X110" i="33"/>
  <c r="N110" i="33"/>
  <c r="AB109" i="33"/>
  <c r="R109" i="33"/>
  <c r="H109" i="33"/>
  <c r="V108" i="33"/>
  <c r="L108" i="33"/>
  <c r="Z107" i="33"/>
  <c r="P107" i="33"/>
  <c r="F107" i="33"/>
  <c r="T106" i="33"/>
  <c r="J106" i="33"/>
  <c r="X105" i="33"/>
  <c r="N105" i="33"/>
  <c r="AB104" i="33"/>
  <c r="R104" i="33"/>
  <c r="H104" i="33"/>
  <c r="X122" i="33"/>
  <c r="N122" i="33"/>
  <c r="AA133" i="33"/>
  <c r="Q133" i="33"/>
  <c r="G133" i="33"/>
  <c r="U132" i="33"/>
  <c r="K132" i="33"/>
  <c r="Y131" i="33"/>
  <c r="O131" i="33"/>
  <c r="AC130" i="33"/>
  <c r="S130" i="33"/>
  <c r="I130" i="33"/>
  <c r="W129" i="33"/>
  <c r="M129" i="33"/>
  <c r="AA128" i="33"/>
  <c r="Q128" i="33"/>
  <c r="G128" i="33"/>
  <c r="U127" i="33"/>
  <c r="K127" i="33"/>
  <c r="Y126" i="33"/>
  <c r="O126" i="33"/>
  <c r="AC125" i="33"/>
  <c r="S125" i="33"/>
  <c r="I125" i="33"/>
  <c r="W124" i="33"/>
  <c r="M124" i="33"/>
  <c r="AA123" i="33"/>
  <c r="Q123" i="33"/>
  <c r="G123" i="33"/>
  <c r="M93" i="33"/>
  <c r="N90" i="33"/>
  <c r="X103" i="33"/>
  <c r="N103" i="33"/>
  <c r="AA114" i="33"/>
  <c r="Q114" i="33"/>
  <c r="G114" i="33"/>
  <c r="U113" i="33"/>
  <c r="K113" i="33"/>
  <c r="Y112" i="33"/>
  <c r="O112" i="33"/>
  <c r="AC111" i="33"/>
  <c r="S111" i="33"/>
  <c r="I111" i="33"/>
  <c r="W110" i="33"/>
  <c r="M110" i="33"/>
  <c r="AA109" i="33"/>
  <c r="Q109" i="33"/>
  <c r="G109" i="33"/>
  <c r="U108" i="33"/>
  <c r="K108" i="33"/>
  <c r="Y107" i="33"/>
  <c r="O107" i="33"/>
  <c r="AC106" i="33"/>
  <c r="S106" i="33"/>
  <c r="I106" i="33"/>
  <c r="W105" i="33"/>
  <c r="M105" i="33"/>
  <c r="AA104" i="33"/>
  <c r="Q104" i="33"/>
  <c r="G104" i="33"/>
  <c r="W122" i="33"/>
  <c r="M122" i="33"/>
  <c r="Z133" i="33"/>
  <c r="P133" i="33"/>
  <c r="F133" i="33"/>
  <c r="T132" i="33"/>
  <c r="J132" i="33"/>
  <c r="X131" i="33"/>
  <c r="N131" i="33"/>
  <c r="AB130" i="33"/>
  <c r="R130" i="33"/>
  <c r="H130" i="33"/>
  <c r="V129" i="33"/>
  <c r="L129" i="33"/>
  <c r="Z128" i="33"/>
  <c r="P128" i="33"/>
  <c r="F128" i="33"/>
  <c r="T127" i="33"/>
  <c r="J127" i="33"/>
  <c r="X126" i="33"/>
  <c r="N126" i="33"/>
  <c r="AB125" i="33"/>
  <c r="R125" i="33"/>
  <c r="H125" i="33"/>
  <c r="V124" i="33"/>
  <c r="L124" i="33"/>
  <c r="Z123" i="33"/>
  <c r="P123" i="33"/>
  <c r="F123" i="33"/>
  <c r="W95" i="33"/>
  <c r="Z92" i="33"/>
  <c r="S91" i="33"/>
  <c r="AB89" i="33"/>
  <c r="Z87" i="33"/>
  <c r="J86" i="33"/>
  <c r="O95" i="33"/>
  <c r="Y92" i="33"/>
  <c r="K91" i="33"/>
  <c r="S89" i="33"/>
  <c r="Q87" i="33"/>
  <c r="I86" i="33"/>
  <c r="I94" i="33"/>
  <c r="V84" i="33"/>
  <c r="Q92" i="33"/>
  <c r="R89" i="33"/>
  <c r="P87" i="33"/>
  <c r="M95" i="33"/>
  <c r="P92" i="33"/>
  <c r="G87" i="33"/>
  <c r="T84" i="33"/>
  <c r="AC94" i="33"/>
  <c r="V93" i="33"/>
  <c r="O92" i="33"/>
  <c r="Y90" i="33"/>
  <c r="H89" i="33"/>
  <c r="F87" i="33"/>
  <c r="F85" i="33"/>
  <c r="P85" i="33"/>
  <c r="Z85" i="33"/>
  <c r="L86" i="33"/>
  <c r="V86" i="33"/>
  <c r="H87" i="33"/>
  <c r="R87" i="33"/>
  <c r="AB87" i="33"/>
  <c r="N88" i="33"/>
  <c r="X88" i="33"/>
  <c r="J89" i="33"/>
  <c r="T89" i="33"/>
  <c r="F90" i="33"/>
  <c r="P90" i="33"/>
  <c r="Z90" i="33"/>
  <c r="L91" i="33"/>
  <c r="V91" i="33"/>
  <c r="H92" i="33"/>
  <c r="R92" i="33"/>
  <c r="AB92" i="33"/>
  <c r="N93" i="33"/>
  <c r="X93" i="33"/>
  <c r="J94" i="33"/>
  <c r="T94" i="33"/>
  <c r="F95" i="33"/>
  <c r="P95" i="33"/>
  <c r="Z95" i="33"/>
  <c r="M84" i="33"/>
  <c r="W84" i="33"/>
  <c r="F88" i="33"/>
  <c r="P88" i="33"/>
  <c r="Z88" i="33"/>
  <c r="L89" i="33"/>
  <c r="V89" i="33"/>
  <c r="H90" i="33"/>
  <c r="AB90" i="33"/>
  <c r="N91" i="33"/>
  <c r="X91" i="33"/>
  <c r="J92" i="33"/>
  <c r="T92" i="33"/>
  <c r="F93" i="33"/>
  <c r="P93" i="33"/>
  <c r="L94" i="33"/>
  <c r="V94" i="33"/>
  <c r="R95" i="33"/>
  <c r="O84" i="33"/>
  <c r="S85" i="33"/>
  <c r="AC85" i="33"/>
  <c r="O86" i="33"/>
  <c r="Y86" i="33"/>
  <c r="U87" i="33"/>
  <c r="G88" i="33"/>
  <c r="Q88" i="33"/>
  <c r="AA88" i="33"/>
  <c r="M89" i="33"/>
  <c r="W89" i="33"/>
  <c r="I90" i="33"/>
  <c r="S90" i="33"/>
  <c r="AC90" i="33"/>
  <c r="Y91" i="33"/>
  <c r="K92" i="33"/>
  <c r="G93" i="33"/>
  <c r="AA93" i="33"/>
  <c r="M94" i="33"/>
  <c r="I95" i="33"/>
  <c r="P84" i="33"/>
  <c r="H91" i="33"/>
  <c r="T93" i="33"/>
  <c r="P94" i="33"/>
  <c r="Z94" i="33"/>
  <c r="L95" i="33"/>
  <c r="I84" i="33"/>
  <c r="G85" i="33"/>
  <c r="Q85" i="33"/>
  <c r="AA85" i="33"/>
  <c r="M86" i="33"/>
  <c r="W86" i="33"/>
  <c r="I87" i="33"/>
  <c r="S87" i="33"/>
  <c r="AC87" i="33"/>
  <c r="O88" i="33"/>
  <c r="Y88" i="33"/>
  <c r="K89" i="33"/>
  <c r="U89" i="33"/>
  <c r="G90" i="33"/>
  <c r="Q90" i="33"/>
  <c r="AA90" i="33"/>
  <c r="M91" i="33"/>
  <c r="W91" i="33"/>
  <c r="I92" i="33"/>
  <c r="S92" i="33"/>
  <c r="AC92" i="33"/>
  <c r="O93" i="33"/>
  <c r="Y93" i="33"/>
  <c r="K94" i="33"/>
  <c r="U94" i="33"/>
  <c r="G95" i="33"/>
  <c r="Q95" i="33"/>
  <c r="AA95" i="33"/>
  <c r="N84" i="33"/>
  <c r="X84" i="33"/>
  <c r="R90" i="33"/>
  <c r="Z93" i="33"/>
  <c r="H95" i="33"/>
  <c r="AB95" i="33"/>
  <c r="Y84" i="33"/>
  <c r="K87" i="33"/>
  <c r="O91" i="33"/>
  <c r="U92" i="33"/>
  <c r="Q93" i="33"/>
  <c r="W94" i="33"/>
  <c r="S95" i="33"/>
  <c r="AC95" i="33"/>
  <c r="Z84" i="33"/>
  <c r="H86" i="33"/>
  <c r="H85" i="33"/>
  <c r="R85" i="33"/>
  <c r="AB85" i="33"/>
  <c r="N86" i="33"/>
  <c r="X86" i="33"/>
  <c r="J87" i="33"/>
  <c r="T87" i="33"/>
  <c r="AB86" i="33"/>
  <c r="S84" i="33"/>
  <c r="I85" i="33"/>
  <c r="J85" i="33"/>
  <c r="T85" i="33"/>
  <c r="F86" i="33"/>
  <c r="P86" i="33"/>
  <c r="Z86" i="33"/>
  <c r="L87" i="33"/>
  <c r="V87" i="33"/>
  <c r="H88" i="33"/>
  <c r="R88" i="33"/>
  <c r="AB88" i="33"/>
  <c r="N89" i="33"/>
  <c r="X89" i="33"/>
  <c r="J90" i="33"/>
  <c r="T90" i="33"/>
  <c r="F91" i="33"/>
  <c r="P91" i="33"/>
  <c r="Z91" i="33"/>
  <c r="L92" i="33"/>
  <c r="V92" i="33"/>
  <c r="H93" i="33"/>
  <c r="R93" i="33"/>
  <c r="AB93" i="33"/>
  <c r="N94" i="33"/>
  <c r="X94" i="33"/>
  <c r="J95" i="33"/>
  <c r="T95" i="33"/>
  <c r="G84" i="33"/>
  <c r="Q84" i="33"/>
  <c r="AA84" i="33"/>
  <c r="U85" i="33"/>
  <c r="G86" i="33"/>
  <c r="Q86" i="33"/>
  <c r="AA86" i="33"/>
  <c r="M87" i="33"/>
  <c r="W87" i="33"/>
  <c r="I88" i="33"/>
  <c r="S88" i="33"/>
  <c r="AC88" i="33"/>
  <c r="O89" i="33"/>
  <c r="Y89" i="33"/>
  <c r="K90" i="33"/>
  <c r="U90" i="33"/>
  <c r="G91" i="33"/>
  <c r="Q91" i="33"/>
  <c r="AA91" i="33"/>
  <c r="M92" i="33"/>
  <c r="W92" i="33"/>
  <c r="I93" i="33"/>
  <c r="S93" i="33"/>
  <c r="AC93" i="33"/>
  <c r="O94" i="33"/>
  <c r="Y94" i="33"/>
  <c r="K95" i="33"/>
  <c r="U95" i="33"/>
  <c r="H84" i="33"/>
  <c r="R84" i="33"/>
  <c r="AB84" i="33"/>
  <c r="V85" i="33"/>
  <c r="R86" i="33"/>
  <c r="N87" i="33"/>
  <c r="X87" i="33"/>
  <c r="J88" i="33"/>
  <c r="T88" i="33"/>
  <c r="F89" i="33"/>
  <c r="P89" i="33"/>
  <c r="Z89" i="33"/>
  <c r="L90" i="33"/>
  <c r="V90" i="33"/>
  <c r="R91" i="33"/>
  <c r="AB91" i="33"/>
  <c r="N92" i="33"/>
  <c r="X92" i="33"/>
  <c r="J93" i="33"/>
  <c r="F94" i="33"/>
  <c r="V95" i="33"/>
  <c r="AC84" i="33"/>
  <c r="W85" i="33"/>
  <c r="O87" i="33"/>
  <c r="Y87" i="33"/>
  <c r="K88" i="33"/>
  <c r="U88" i="33"/>
  <c r="G89" i="33"/>
  <c r="Q89" i="33"/>
  <c r="AA89" i="33"/>
  <c r="M90" i="33"/>
  <c r="K85" i="33"/>
  <c r="L85" i="33"/>
  <c r="M85" i="33"/>
  <c r="H94" i="33"/>
  <c r="N95" i="33"/>
  <c r="G94" i="33"/>
  <c r="J91" i="33"/>
  <c r="Y85" i="33"/>
  <c r="U84" i="33"/>
  <c r="W93" i="33"/>
  <c r="I91" i="33"/>
  <c r="I89" i="33"/>
  <c r="X85" i="33"/>
  <c r="L84" i="33"/>
  <c r="AB94" i="33"/>
  <c r="U93" i="33"/>
  <c r="G92" i="33"/>
  <c r="X90" i="33"/>
  <c r="W88" i="33"/>
  <c r="AC86" i="33"/>
  <c r="N85" i="33"/>
  <c r="M375" i="25"/>
  <c r="P119" i="27"/>
  <c r="O119" i="27"/>
  <c r="N119" i="27"/>
  <c r="P120" i="27"/>
  <c r="O120" i="27"/>
  <c r="N120" i="27"/>
  <c r="P116" i="27"/>
  <c r="P115" i="27"/>
  <c r="O116" i="27"/>
  <c r="O115" i="27"/>
  <c r="N116" i="27"/>
  <c r="N115" i="27"/>
  <c r="M279" i="22" l="1"/>
  <c r="AD131" i="33"/>
  <c r="AF131" i="33" s="1"/>
  <c r="AD92" i="33"/>
  <c r="AF92" i="33" s="1"/>
  <c r="AD107" i="33"/>
  <c r="AF107" i="33" s="1"/>
  <c r="AD130" i="33"/>
  <c r="AF130" i="33" s="1"/>
  <c r="AD126" i="33"/>
  <c r="AF126" i="33" s="1"/>
  <c r="AD122" i="33"/>
  <c r="AF122" i="33" s="1"/>
  <c r="AD104" i="33"/>
  <c r="AF104" i="33" s="1"/>
  <c r="AD108" i="33"/>
  <c r="AF108" i="33" s="1"/>
  <c r="AD127" i="33"/>
  <c r="AF127" i="33" s="1"/>
  <c r="AD90" i="33"/>
  <c r="AF90" i="33" s="1"/>
  <c r="AD113" i="33"/>
  <c r="AF113" i="33" s="1"/>
  <c r="AD132" i="33"/>
  <c r="AF132" i="33" s="1"/>
  <c r="AD124" i="33"/>
  <c r="AF124" i="33" s="1"/>
  <c r="AD105" i="33"/>
  <c r="AF105" i="33" s="1"/>
  <c r="AD114" i="33"/>
  <c r="AF114" i="33" s="1"/>
  <c r="AD133" i="33"/>
  <c r="AF133" i="33" s="1"/>
  <c r="AD106" i="33"/>
  <c r="AF106" i="33" s="1"/>
  <c r="AD110" i="33"/>
  <c r="AF110" i="33" s="1"/>
  <c r="AD125" i="33"/>
  <c r="AF125" i="33" s="1"/>
  <c r="AD129" i="33"/>
  <c r="AF129" i="33" s="1"/>
  <c r="AD111" i="33"/>
  <c r="AF111" i="33" s="1"/>
  <c r="AD103" i="33"/>
  <c r="AF103" i="33" s="1"/>
  <c r="AD112" i="33"/>
  <c r="AF112" i="33" s="1"/>
  <c r="AD93" i="33"/>
  <c r="AF93" i="33" s="1"/>
  <c r="AD85" i="33"/>
  <c r="AF85" i="33" s="1"/>
  <c r="AD128" i="33"/>
  <c r="AF128" i="33" s="1"/>
  <c r="AD84" i="33"/>
  <c r="AF84" i="33" s="1"/>
  <c r="AD88" i="33"/>
  <c r="AF88" i="33" s="1"/>
  <c r="AD87" i="33"/>
  <c r="AF87" i="33" s="1"/>
  <c r="AD109" i="33"/>
  <c r="AF109" i="33" s="1"/>
  <c r="AD89" i="33"/>
  <c r="AF89" i="33" s="1"/>
  <c r="AD123" i="33"/>
  <c r="AF123" i="33" s="1"/>
  <c r="AD94" i="33"/>
  <c r="AF94" i="33" s="1"/>
  <c r="AD95" i="33"/>
  <c r="AF95" i="33" s="1"/>
  <c r="AD86" i="33"/>
  <c r="AF86" i="33" s="1"/>
  <c r="AD91" i="33"/>
  <c r="AF91" i="33" s="1"/>
  <c r="K174" i="22"/>
  <c r="K17" i="26"/>
  <c r="K223" i="26"/>
  <c r="K219" i="26" s="1"/>
  <c r="K212" i="26"/>
  <c r="K207" i="26"/>
  <c r="K204" i="26"/>
  <c r="K201" i="26"/>
  <c r="K195" i="26"/>
  <c r="K190" i="26"/>
  <c r="K189" i="26" s="1"/>
  <c r="K181" i="26"/>
  <c r="K176" i="26"/>
  <c r="K168" i="26"/>
  <c r="K161" i="26"/>
  <c r="K157" i="26" s="1"/>
  <c r="K150" i="26"/>
  <c r="K142" i="26"/>
  <c r="K138" i="26"/>
  <c r="K124" i="26"/>
  <c r="K113" i="26"/>
  <c r="K106" i="26"/>
  <c r="K98" i="26"/>
  <c r="K90" i="26"/>
  <c r="K82" i="26"/>
  <c r="K80" i="26" s="1"/>
  <c r="K72" i="26"/>
  <c r="K69" i="26"/>
  <c r="K64" i="26"/>
  <c r="K59" i="26"/>
  <c r="K51" i="26"/>
  <c r="K41" i="26"/>
  <c r="K37" i="26"/>
  <c r="K35" i="26" s="1"/>
  <c r="K32" i="26"/>
  <c r="K28" i="26"/>
  <c r="K24" i="26"/>
  <c r="K19" i="26"/>
  <c r="K188" i="26"/>
  <c r="K187" i="26"/>
  <c r="X90" i="18"/>
  <c r="X89" i="18"/>
  <c r="X86" i="18"/>
  <c r="X85" i="18"/>
  <c r="X91" i="18" s="1"/>
  <c r="O87" i="18"/>
  <c r="O85" i="18"/>
  <c r="F85" i="18"/>
  <c r="O86" i="18"/>
  <c r="F86" i="18"/>
  <c r="F91" i="18" s="1"/>
  <c r="O86" i="17"/>
  <c r="O85" i="17"/>
  <c r="O84" i="17"/>
  <c r="X85" i="17"/>
  <c r="X84" i="17"/>
  <c r="X82" i="17"/>
  <c r="O82" i="17"/>
  <c r="F82" i="17"/>
  <c r="X83" i="17"/>
  <c r="O83" i="17"/>
  <c r="F83" i="17"/>
  <c r="K229" i="22"/>
  <c r="K225" i="22" s="1"/>
  <c r="J271" i="22" s="1"/>
  <c r="K218" i="22"/>
  <c r="K213" i="22"/>
  <c r="K210" i="22"/>
  <c r="K207" i="22"/>
  <c r="K201" i="22"/>
  <c r="K196" i="22"/>
  <c r="K187" i="22"/>
  <c r="K182" i="22"/>
  <c r="K167" i="22"/>
  <c r="K163" i="22" s="1"/>
  <c r="K156" i="22"/>
  <c r="K148" i="22"/>
  <c r="K144" i="22"/>
  <c r="K130" i="22"/>
  <c r="K119" i="22"/>
  <c r="K112" i="22"/>
  <c r="K104" i="22"/>
  <c r="K96" i="22"/>
  <c r="K88" i="22"/>
  <c r="K86" i="22" s="1"/>
  <c r="K78" i="22"/>
  <c r="K75" i="22"/>
  <c r="K70" i="22"/>
  <c r="K65" i="22"/>
  <c r="K57" i="22"/>
  <c r="K47" i="22"/>
  <c r="K43" i="22"/>
  <c r="K41" i="22" s="1"/>
  <c r="K38" i="22"/>
  <c r="K34" i="22"/>
  <c r="K30" i="22"/>
  <c r="K25" i="22"/>
  <c r="K22" i="22" s="1"/>
  <c r="E83" i="29"/>
  <c r="E82" i="29"/>
  <c r="K194" i="22"/>
  <c r="K193" i="22"/>
  <c r="M282" i="22"/>
  <c r="M283" i="22"/>
  <c r="M284" i="22"/>
  <c r="M285" i="22"/>
  <c r="M286" i="22"/>
  <c r="M287" i="22"/>
  <c r="M288" i="22"/>
  <c r="M289" i="22"/>
  <c r="M290" i="22"/>
  <c r="M291" i="22"/>
  <c r="M292" i="22"/>
  <c r="M293" i="22"/>
  <c r="M294" i="22"/>
  <c r="K315" i="25"/>
  <c r="K311" i="25" s="1"/>
  <c r="K304" i="25"/>
  <c r="K299" i="25"/>
  <c r="K296" i="25"/>
  <c r="K293" i="25"/>
  <c r="K287" i="25"/>
  <c r="K282" i="25"/>
  <c r="K273" i="25"/>
  <c r="K268" i="25"/>
  <c r="K260" i="25"/>
  <c r="K253" i="25"/>
  <c r="K249" i="25" s="1"/>
  <c r="K242" i="25"/>
  <c r="K234" i="25"/>
  <c r="K230" i="25"/>
  <c r="K216" i="25"/>
  <c r="K205" i="25"/>
  <c r="K198" i="25"/>
  <c r="K190" i="25"/>
  <c r="K182" i="25"/>
  <c r="K174" i="25"/>
  <c r="K172" i="25" s="1"/>
  <c r="K164" i="25"/>
  <c r="K161" i="25"/>
  <c r="K156" i="25"/>
  <c r="K151" i="25"/>
  <c r="K143" i="25"/>
  <c r="K133" i="25"/>
  <c r="K129" i="25"/>
  <c r="K127" i="25" s="1"/>
  <c r="K124" i="25"/>
  <c r="K120" i="25"/>
  <c r="K116" i="25"/>
  <c r="K107" i="25"/>
  <c r="K101" i="25"/>
  <c r="K79" i="25"/>
  <c r="K74" i="25"/>
  <c r="K56" i="25"/>
  <c r="K41" i="25"/>
  <c r="K37" i="25"/>
  <c r="K28" i="25"/>
  <c r="K24" i="25"/>
  <c r="X96" i="8"/>
  <c r="X95" i="8"/>
  <c r="X93" i="8"/>
  <c r="O93" i="8"/>
  <c r="F93" i="8"/>
  <c r="M368" i="25"/>
  <c r="K280" i="25"/>
  <c r="K279" i="25"/>
  <c r="K89" i="25"/>
  <c r="K88" i="25" s="1"/>
  <c r="K23" i="25"/>
  <c r="E107" i="29"/>
  <c r="F107" i="29"/>
  <c r="G107" i="29"/>
  <c r="H107" i="29"/>
  <c r="I107" i="29"/>
  <c r="J107" i="29"/>
  <c r="K107" i="29"/>
  <c r="L107" i="29"/>
  <c r="M107" i="29"/>
  <c r="N107" i="29"/>
  <c r="O107" i="29"/>
  <c r="E108" i="29"/>
  <c r="F108" i="29"/>
  <c r="G108" i="29"/>
  <c r="H108" i="29"/>
  <c r="I108" i="29"/>
  <c r="J108" i="29"/>
  <c r="K108" i="29"/>
  <c r="L108" i="29"/>
  <c r="M108" i="29"/>
  <c r="N108" i="29"/>
  <c r="O108" i="29"/>
  <c r="E109" i="29"/>
  <c r="F109" i="29"/>
  <c r="G109" i="29"/>
  <c r="H109" i="29"/>
  <c r="I109" i="29"/>
  <c r="J109" i="29"/>
  <c r="K109" i="29"/>
  <c r="L109" i="29"/>
  <c r="M109" i="29"/>
  <c r="N109" i="29"/>
  <c r="O109" i="29"/>
  <c r="E110" i="29"/>
  <c r="F110" i="29"/>
  <c r="G110" i="29"/>
  <c r="H110" i="29"/>
  <c r="I110" i="29"/>
  <c r="J110" i="29"/>
  <c r="K110" i="29"/>
  <c r="L110" i="29"/>
  <c r="M110" i="29"/>
  <c r="N110" i="29"/>
  <c r="O110" i="29"/>
  <c r="E111" i="29"/>
  <c r="F111" i="29"/>
  <c r="G111" i="29"/>
  <c r="H111" i="29"/>
  <c r="I111" i="29"/>
  <c r="J111" i="29"/>
  <c r="K111" i="29"/>
  <c r="L111" i="29"/>
  <c r="M111" i="29"/>
  <c r="N111" i="29"/>
  <c r="O111" i="29"/>
  <c r="E112" i="29"/>
  <c r="F112" i="29"/>
  <c r="G112" i="29"/>
  <c r="H112" i="29"/>
  <c r="I112" i="29"/>
  <c r="J112" i="29"/>
  <c r="K112" i="29"/>
  <c r="L112" i="29"/>
  <c r="M112" i="29"/>
  <c r="N112" i="29"/>
  <c r="O112" i="29"/>
  <c r="E113" i="29"/>
  <c r="F113" i="29"/>
  <c r="G113" i="29"/>
  <c r="H113" i="29"/>
  <c r="I113" i="29"/>
  <c r="J113" i="29"/>
  <c r="K113" i="29"/>
  <c r="L113" i="29"/>
  <c r="M113" i="29"/>
  <c r="N113" i="29"/>
  <c r="O113" i="29"/>
  <c r="E114" i="29"/>
  <c r="F114" i="29"/>
  <c r="G114" i="29"/>
  <c r="H114" i="29"/>
  <c r="I114" i="29"/>
  <c r="J114" i="29"/>
  <c r="K114" i="29"/>
  <c r="L114" i="29"/>
  <c r="M114" i="29"/>
  <c r="N114" i="29"/>
  <c r="O114" i="29"/>
  <c r="F106" i="29"/>
  <c r="G106" i="29"/>
  <c r="H106" i="29"/>
  <c r="I106" i="29"/>
  <c r="J106" i="29"/>
  <c r="K106" i="29"/>
  <c r="L106" i="29"/>
  <c r="M106" i="29"/>
  <c r="N106" i="29"/>
  <c r="O106" i="29"/>
  <c r="E106" i="29"/>
  <c r="E95" i="29"/>
  <c r="F95" i="29"/>
  <c r="G95" i="29"/>
  <c r="H95" i="29"/>
  <c r="I95" i="29"/>
  <c r="J95" i="29"/>
  <c r="K95" i="29"/>
  <c r="L95" i="29"/>
  <c r="M95" i="29"/>
  <c r="N95" i="29"/>
  <c r="O95" i="29"/>
  <c r="E96" i="29"/>
  <c r="F96" i="29"/>
  <c r="G96" i="29"/>
  <c r="H96" i="29"/>
  <c r="I96" i="29"/>
  <c r="J96" i="29"/>
  <c r="K96" i="29"/>
  <c r="L96" i="29"/>
  <c r="M96" i="29"/>
  <c r="N96" i="29"/>
  <c r="O96" i="29"/>
  <c r="E97" i="29"/>
  <c r="F97" i="29"/>
  <c r="G97" i="29"/>
  <c r="H97" i="29"/>
  <c r="I97" i="29"/>
  <c r="J97" i="29"/>
  <c r="K97" i="29"/>
  <c r="L97" i="29"/>
  <c r="M97" i="29"/>
  <c r="N97" i="29"/>
  <c r="O97" i="29"/>
  <c r="E98" i="29"/>
  <c r="F98" i="29"/>
  <c r="G98" i="29"/>
  <c r="H98" i="29"/>
  <c r="I98" i="29"/>
  <c r="J98" i="29"/>
  <c r="K98" i="29"/>
  <c r="L98" i="29"/>
  <c r="M98" i="29"/>
  <c r="N98" i="29"/>
  <c r="O98" i="29"/>
  <c r="E99" i="29"/>
  <c r="F99" i="29"/>
  <c r="G99" i="29"/>
  <c r="H99" i="29"/>
  <c r="I99" i="29"/>
  <c r="J99" i="29"/>
  <c r="K99" i="29"/>
  <c r="L99" i="29"/>
  <c r="M99" i="29"/>
  <c r="N99" i="29"/>
  <c r="O99" i="29"/>
  <c r="E100" i="29"/>
  <c r="F100" i="29"/>
  <c r="G100" i="29"/>
  <c r="H100" i="29"/>
  <c r="I100" i="29"/>
  <c r="J100" i="29"/>
  <c r="K100" i="29"/>
  <c r="L100" i="29"/>
  <c r="M100" i="29"/>
  <c r="N100" i="29"/>
  <c r="O100" i="29"/>
  <c r="E101" i="29"/>
  <c r="F101" i="29"/>
  <c r="G101" i="29"/>
  <c r="H101" i="29"/>
  <c r="I101" i="29"/>
  <c r="J101" i="29"/>
  <c r="K101" i="29"/>
  <c r="L101" i="29"/>
  <c r="M101" i="29"/>
  <c r="N101" i="29"/>
  <c r="O101" i="29"/>
  <c r="E102" i="29"/>
  <c r="F102" i="29"/>
  <c r="G102" i="29"/>
  <c r="H102" i="29"/>
  <c r="I102" i="29"/>
  <c r="J102" i="29"/>
  <c r="K102" i="29"/>
  <c r="L102" i="29"/>
  <c r="M102" i="29"/>
  <c r="N102" i="29"/>
  <c r="O102" i="29"/>
  <c r="F94" i="29"/>
  <c r="G94" i="29"/>
  <c r="H94" i="29"/>
  <c r="I94" i="29"/>
  <c r="J94" i="29"/>
  <c r="K94" i="29"/>
  <c r="L94" i="29"/>
  <c r="M94" i="29"/>
  <c r="N94" i="29"/>
  <c r="O94" i="29"/>
  <c r="E94" i="29"/>
  <c r="F83" i="29"/>
  <c r="G83" i="29"/>
  <c r="H83" i="29"/>
  <c r="I83" i="29"/>
  <c r="J83" i="29"/>
  <c r="K83" i="29"/>
  <c r="L83" i="29"/>
  <c r="M83" i="29"/>
  <c r="N83" i="29"/>
  <c r="O83" i="29"/>
  <c r="E84" i="29"/>
  <c r="F84" i="29"/>
  <c r="G84" i="29"/>
  <c r="H84" i="29"/>
  <c r="I84" i="29"/>
  <c r="J84" i="29"/>
  <c r="K84" i="29"/>
  <c r="L84" i="29"/>
  <c r="M84" i="29"/>
  <c r="N84" i="29"/>
  <c r="O84" i="29"/>
  <c r="E85" i="29"/>
  <c r="F85" i="29"/>
  <c r="G85" i="29"/>
  <c r="H85" i="29"/>
  <c r="I85" i="29"/>
  <c r="J85" i="29"/>
  <c r="K85" i="29"/>
  <c r="L85" i="29"/>
  <c r="M85" i="29"/>
  <c r="N85" i="29"/>
  <c r="O85" i="29"/>
  <c r="E86" i="29"/>
  <c r="F86" i="29"/>
  <c r="G86" i="29"/>
  <c r="H86" i="29"/>
  <c r="I86" i="29"/>
  <c r="J86" i="29"/>
  <c r="K86" i="29"/>
  <c r="L86" i="29"/>
  <c r="M86" i="29"/>
  <c r="N86" i="29"/>
  <c r="O86" i="29"/>
  <c r="E87" i="29"/>
  <c r="F87" i="29"/>
  <c r="G87" i="29"/>
  <c r="H87" i="29"/>
  <c r="I87" i="29"/>
  <c r="J87" i="29"/>
  <c r="K87" i="29"/>
  <c r="L87" i="29"/>
  <c r="M87" i="29"/>
  <c r="N87" i="29"/>
  <c r="O87" i="29"/>
  <c r="E88" i="29"/>
  <c r="F88" i="29"/>
  <c r="G88" i="29"/>
  <c r="H88" i="29"/>
  <c r="I88" i="29"/>
  <c r="J88" i="29"/>
  <c r="K88" i="29"/>
  <c r="L88" i="29"/>
  <c r="M88" i="29"/>
  <c r="N88" i="29"/>
  <c r="O88" i="29"/>
  <c r="E89" i="29"/>
  <c r="F89" i="29"/>
  <c r="G89" i="29"/>
  <c r="H89" i="29"/>
  <c r="I89" i="29"/>
  <c r="J89" i="29"/>
  <c r="K89" i="29"/>
  <c r="L89" i="29"/>
  <c r="M89" i="29"/>
  <c r="N89" i="29"/>
  <c r="O89" i="29"/>
  <c r="E90" i="29"/>
  <c r="F90" i="29"/>
  <c r="G90" i="29"/>
  <c r="H90" i="29"/>
  <c r="I90" i="29"/>
  <c r="J90" i="29"/>
  <c r="K90" i="29"/>
  <c r="L90" i="29"/>
  <c r="M90" i="29"/>
  <c r="N90" i="29"/>
  <c r="O90" i="29"/>
  <c r="F82" i="29"/>
  <c r="G82" i="29"/>
  <c r="H82" i="29"/>
  <c r="I82" i="29"/>
  <c r="J82" i="29"/>
  <c r="K82" i="29"/>
  <c r="L82" i="29"/>
  <c r="M82" i="29"/>
  <c r="N82" i="29"/>
  <c r="O82" i="29"/>
  <c r="O91" i="18" l="1"/>
  <c r="K257" i="26"/>
  <c r="M257" i="26"/>
  <c r="F87" i="17"/>
  <c r="O87" i="17"/>
  <c r="L268" i="22"/>
  <c r="N268" i="22" s="1"/>
  <c r="L269" i="22"/>
  <c r="N269" i="22" s="1"/>
  <c r="L265" i="22"/>
  <c r="N265" i="22" s="1"/>
  <c r="L267" i="22"/>
  <c r="N267" i="22" s="1"/>
  <c r="L264" i="22"/>
  <c r="N264" i="22" s="1"/>
  <c r="L266" i="22"/>
  <c r="N266" i="22" s="1"/>
  <c r="L263" i="22"/>
  <c r="N263" i="22" s="1"/>
  <c r="Q231" i="27"/>
  <c r="M295" i="22"/>
  <c r="Q254" i="27" s="1"/>
  <c r="AF115" i="33"/>
  <c r="AF134" i="33"/>
  <c r="AF96" i="33"/>
  <c r="K186" i="26"/>
  <c r="R229" i="27"/>
  <c r="K192" i="22"/>
  <c r="Q256" i="27"/>
  <c r="K278" i="25"/>
  <c r="R253" i="27"/>
  <c r="R228" i="27"/>
  <c r="P90" i="29"/>
  <c r="P102" i="29"/>
  <c r="Q102" i="29" s="1"/>
  <c r="P114" i="29"/>
  <c r="Q114" i="29" s="1"/>
  <c r="K16" i="26"/>
  <c r="K167" i="26"/>
  <c r="K136" i="26"/>
  <c r="K68" i="26"/>
  <c r="K97" i="26"/>
  <c r="K23" i="26"/>
  <c r="K56" i="26" s="1"/>
  <c r="X87" i="17"/>
  <c r="K142" i="22"/>
  <c r="K173" i="22"/>
  <c r="K103" i="22"/>
  <c r="K195" i="22"/>
  <c r="K74" i="22"/>
  <c r="K29" i="22"/>
  <c r="K62" i="22" s="1"/>
  <c r="Q229" i="27"/>
  <c r="K160" i="25"/>
  <c r="K35" i="25"/>
  <c r="K259" i="25"/>
  <c r="K189" i="25"/>
  <c r="K69" i="25"/>
  <c r="K94" i="25"/>
  <c r="K228" i="25"/>
  <c r="K115" i="25"/>
  <c r="K148" i="25" s="1"/>
  <c r="K281" i="25"/>
  <c r="P104" i="27"/>
  <c r="P105" i="27"/>
  <c r="I291" i="26" l="1"/>
  <c r="N73" i="27" s="1"/>
  <c r="K272" i="25"/>
  <c r="J263" i="22"/>
  <c r="L145" i="33" a="1"/>
  <c r="L145" i="33" s="1"/>
  <c r="G142" i="33"/>
  <c r="L144" i="33" a="1"/>
  <c r="L144" i="33" s="1"/>
  <c r="L147" i="33" a="1"/>
  <c r="L147" i="33" s="1"/>
  <c r="G144" i="33"/>
  <c r="L146" i="33" a="1"/>
  <c r="L146" i="33" s="1"/>
  <c r="G143" i="33"/>
  <c r="K123" i="29"/>
  <c r="K126" i="29"/>
  <c r="K125" i="29"/>
  <c r="K122" i="29"/>
  <c r="K180" i="26"/>
  <c r="K186" i="22"/>
  <c r="Q90" i="29"/>
  <c r="K67" i="26"/>
  <c r="K22" i="26" s="1"/>
  <c r="K15" i="26" s="1"/>
  <c r="K73" i="22"/>
  <c r="K159" i="25"/>
  <c r="K114" i="25" s="1"/>
  <c r="K34" i="25"/>
  <c r="N105" i="27"/>
  <c r="O105" i="27"/>
  <c r="N104" i="27"/>
  <c r="O104" i="27"/>
  <c r="M371" i="25"/>
  <c r="M370" i="25"/>
  <c r="M372" i="25" s="1"/>
  <c r="K28" i="22" l="1"/>
  <c r="J270" i="22" s="1"/>
  <c r="P101" i="27"/>
  <c r="G11" i="29"/>
  <c r="P100" i="27"/>
  <c r="G8" i="29"/>
  <c r="O100" i="27"/>
  <c r="G7" i="29"/>
  <c r="O101" i="27"/>
  <c r="G10" i="29"/>
  <c r="G302" i="22"/>
  <c r="N72" i="27" s="1"/>
  <c r="K121" i="29"/>
  <c r="K124" i="29"/>
  <c r="Q253" i="27"/>
  <c r="Q228" i="27"/>
  <c r="J23" i="8"/>
  <c r="X94" i="8" s="1"/>
  <c r="X98" i="8" s="1"/>
  <c r="J22" i="8"/>
  <c r="O94" i="8" s="1"/>
  <c r="O98" i="8" s="1"/>
  <c r="J21" i="8"/>
  <c r="F94" i="8" s="1"/>
  <c r="F98" i="8" s="1"/>
  <c r="M283" i="26"/>
  <c r="M282" i="26"/>
  <c r="M281" i="26"/>
  <c r="M280" i="26"/>
  <c r="M278" i="26"/>
  <c r="M277" i="26"/>
  <c r="M275" i="26"/>
  <c r="M274" i="26"/>
  <c r="M273" i="26"/>
  <c r="M272" i="26"/>
  <c r="K259" i="26"/>
  <c r="R231" i="27" s="1"/>
  <c r="L6" i="22"/>
  <c r="K21" i="22" l="1"/>
  <c r="K306" i="22"/>
  <c r="M284" i="26"/>
  <c r="N101" i="27"/>
  <c r="G9" i="29"/>
  <c r="G6" i="29"/>
  <c r="N100" i="27"/>
  <c r="K304" i="22"/>
  <c r="K302" i="22"/>
  <c r="Q230" i="27"/>
  <c r="Q255" i="27"/>
  <c r="M259" i="26"/>
  <c r="R256" i="27" s="1"/>
  <c r="R254" i="27"/>
  <c r="K307" i="22" l="1"/>
  <c r="G303" i="22"/>
  <c r="K303" i="22"/>
  <c r="J272" i="22"/>
  <c r="P182" i="27" s="1"/>
  <c r="K305" i="22"/>
  <c r="G304" i="22"/>
  <c r="M258" i="26"/>
  <c r="M387" i="25"/>
  <c r="M386" i="25"/>
  <c r="M385" i="25"/>
  <c r="M384" i="25"/>
  <c r="M383" i="25"/>
  <c r="M382" i="25"/>
  <c r="M381" i="25"/>
  <c r="M380" i="25"/>
  <c r="M379" i="25"/>
  <c r="M378" i="25"/>
  <c r="M377" i="25"/>
  <c r="M376" i="25"/>
  <c r="P229" i="27"/>
  <c r="K22" i="25"/>
  <c r="K20" i="25" s="1"/>
  <c r="K19" i="25" s="1"/>
  <c r="K18" i="25" s="1"/>
  <c r="R182" i="27" l="1"/>
  <c r="Q182" i="27"/>
  <c r="M388" i="25"/>
  <c r="M260" i="26"/>
  <c r="L292" i="26" s="1"/>
  <c r="R255" i="27"/>
  <c r="K17" i="25"/>
  <c r="J349" i="25"/>
  <c r="K258" i="26"/>
  <c r="P254" i="27"/>
  <c r="R230" i="27" l="1"/>
  <c r="I293" i="26"/>
  <c r="I292" i="26"/>
  <c r="M352" i="25"/>
  <c r="M351" i="25"/>
  <c r="M354" i="25"/>
  <c r="M355" i="25"/>
  <c r="M353" i="25"/>
  <c r="R204" i="27"/>
  <c r="Q204" i="27"/>
  <c r="P204" i="27"/>
  <c r="H395" i="25"/>
  <c r="N71" i="27" s="1"/>
  <c r="P228" i="27"/>
  <c r="P253" i="27"/>
  <c r="K260" i="26"/>
  <c r="L291" i="26" s="1"/>
  <c r="J364" i="25"/>
  <c r="P256" i="27" l="1"/>
  <c r="P231" i="27"/>
  <c r="P163" i="27" l="1"/>
  <c r="P255" i="27"/>
  <c r="P230" i="27"/>
  <c r="Z50" i="20"/>
  <c r="AB50" i="20" s="1"/>
  <c r="Q50" i="20"/>
  <c r="S50" i="20" s="1"/>
  <c r="H50" i="20"/>
  <c r="J50" i="20" s="1"/>
  <c r="Z48" i="20"/>
  <c r="AB48" i="20" s="1"/>
  <c r="AC48" i="20" s="1"/>
  <c r="Q48" i="20"/>
  <c r="S48" i="20" s="1"/>
  <c r="T48" i="20" s="1"/>
  <c r="H48" i="20"/>
  <c r="J48" i="20" s="1"/>
  <c r="K48" i="20" s="1"/>
  <c r="Z46" i="20"/>
  <c r="AB46" i="20" s="1"/>
  <c r="Q46" i="20"/>
  <c r="S46" i="20" s="1"/>
  <c r="H46" i="20"/>
  <c r="J46" i="20" s="1"/>
  <c r="Z38" i="20"/>
  <c r="AB38" i="20" s="1"/>
  <c r="Z52" i="19"/>
  <c r="AB52" i="19" s="1"/>
  <c r="Q52" i="19"/>
  <c r="S52" i="19" s="1"/>
  <c r="H52" i="19"/>
  <c r="J52" i="19" s="1"/>
  <c r="Z50" i="19"/>
  <c r="AB50" i="19" s="1"/>
  <c r="AC50" i="19" s="1"/>
  <c r="Q50" i="19"/>
  <c r="S50" i="19" s="1"/>
  <c r="T50" i="19" s="1"/>
  <c r="H50" i="19"/>
  <c r="J50" i="19" s="1"/>
  <c r="K50" i="19" s="1"/>
  <c r="Z48" i="19"/>
  <c r="AB48" i="19" s="1"/>
  <c r="Q48" i="19"/>
  <c r="S48" i="19" s="1"/>
  <c r="H48" i="19"/>
  <c r="J48" i="19" s="1"/>
  <c r="E17" i="19"/>
  <c r="Z39" i="19" s="1"/>
  <c r="AB39" i="19" s="1"/>
  <c r="L15" i="19"/>
  <c r="K15" i="19"/>
  <c r="J15" i="19"/>
  <c r="L14" i="19"/>
  <c r="K14" i="19"/>
  <c r="J14" i="19"/>
  <c r="L13" i="19"/>
  <c r="K13" i="19"/>
  <c r="J13" i="19"/>
  <c r="L12" i="19"/>
  <c r="K12" i="19"/>
  <c r="J12" i="19"/>
  <c r="L11" i="19"/>
  <c r="Z78" i="18"/>
  <c r="Q78" i="18"/>
  <c r="S78" i="18" s="1"/>
  <c r="H78" i="18"/>
  <c r="J78" i="18" s="1"/>
  <c r="Z77" i="18"/>
  <c r="Z79" i="18" s="1"/>
  <c r="AB79" i="18" s="1"/>
  <c r="Q77" i="18"/>
  <c r="S77" i="18" s="1"/>
  <c r="H77" i="18"/>
  <c r="J77" i="18" s="1"/>
  <c r="Z76" i="18"/>
  <c r="Z80" i="18" s="1"/>
  <c r="Q76" i="18"/>
  <c r="S76" i="18" s="1"/>
  <c r="H76" i="18"/>
  <c r="H80" i="18" s="1"/>
  <c r="J80" i="18" s="1"/>
  <c r="Z69" i="18"/>
  <c r="AB69" i="18" s="1"/>
  <c r="Q69" i="18"/>
  <c r="S69" i="18" s="1"/>
  <c r="H69" i="18"/>
  <c r="J69" i="18" s="1"/>
  <c r="Z68" i="18"/>
  <c r="AB68" i="18" s="1"/>
  <c r="Q68" i="18"/>
  <c r="S68" i="18" s="1"/>
  <c r="H68" i="18"/>
  <c r="J68" i="18" s="1"/>
  <c r="Z67" i="18"/>
  <c r="Z70" i="18" s="1"/>
  <c r="Q67" i="18"/>
  <c r="S67" i="18" s="1"/>
  <c r="H67" i="18"/>
  <c r="J67" i="18" s="1"/>
  <c r="Z66" i="18"/>
  <c r="AB66" i="18" s="1"/>
  <c r="Q66" i="18"/>
  <c r="S66" i="18" s="1"/>
  <c r="H66" i="18"/>
  <c r="J66" i="18" s="1"/>
  <c r="Z65" i="18"/>
  <c r="Z71" i="18" s="1"/>
  <c r="Q65" i="18"/>
  <c r="S71" i="18" s="1"/>
  <c r="H65" i="18"/>
  <c r="H71" i="18" s="1"/>
  <c r="J71" i="18" s="1"/>
  <c r="Z58" i="18"/>
  <c r="AB58" i="18" s="1"/>
  <c r="Q58" i="18"/>
  <c r="S58" i="18" s="1"/>
  <c r="H58" i="18"/>
  <c r="J58" i="18" s="1"/>
  <c r="Z57" i="18"/>
  <c r="AB57" i="18" s="1"/>
  <c r="Q57" i="18"/>
  <c r="S57" i="18" s="1"/>
  <c r="H57" i="18"/>
  <c r="J57" i="18" s="1"/>
  <c r="Z56" i="18"/>
  <c r="Z59" i="18" s="1"/>
  <c r="Q56" i="18"/>
  <c r="S56" i="18" s="1"/>
  <c r="H56" i="18"/>
  <c r="J56" i="18" s="1"/>
  <c r="Z55" i="18"/>
  <c r="AB55" i="18" s="1"/>
  <c r="Q55" i="18"/>
  <c r="S55" i="18" s="1"/>
  <c r="H55" i="18"/>
  <c r="J55" i="18" s="1"/>
  <c r="Z54" i="18"/>
  <c r="AB54" i="18" s="1"/>
  <c r="AB60" i="18" s="1"/>
  <c r="Q54" i="18"/>
  <c r="Q60" i="18" s="1"/>
  <c r="S60" i="18" s="1"/>
  <c r="H54" i="18"/>
  <c r="J54" i="18" s="1"/>
  <c r="Z47" i="18"/>
  <c r="AB47" i="18" s="1"/>
  <c r="Q47" i="18"/>
  <c r="S47" i="18" s="1"/>
  <c r="H47" i="18"/>
  <c r="J47" i="18" s="1"/>
  <c r="Z46" i="18"/>
  <c r="AB46" i="18" s="1"/>
  <c r="Q46" i="18"/>
  <c r="S46" i="18" s="1"/>
  <c r="H46" i="18"/>
  <c r="J46" i="18" s="1"/>
  <c r="Z45" i="18"/>
  <c r="Z48" i="18" s="1"/>
  <c r="Q45" i="18"/>
  <c r="S45" i="18" s="1"/>
  <c r="H45" i="18"/>
  <c r="J45" i="18" s="1"/>
  <c r="Z44" i="18"/>
  <c r="AB44" i="18" s="1"/>
  <c r="Q44" i="18"/>
  <c r="S44" i="18" s="1"/>
  <c r="H44" i="18"/>
  <c r="J44" i="18" s="1"/>
  <c r="Z43" i="18"/>
  <c r="Z49" i="18" s="1"/>
  <c r="Q43" i="18"/>
  <c r="Q49" i="18" s="1"/>
  <c r="S49" i="18" s="1"/>
  <c r="H43" i="18"/>
  <c r="J43" i="18" s="1"/>
  <c r="Z75" i="17"/>
  <c r="Q75" i="17"/>
  <c r="S75" i="17" s="1"/>
  <c r="H75" i="17"/>
  <c r="J75" i="17" s="1"/>
  <c r="Z74" i="17"/>
  <c r="Z76" i="17" s="1"/>
  <c r="AB76" i="17" s="1"/>
  <c r="Q74" i="17"/>
  <c r="Q76" i="17" s="1"/>
  <c r="S76" i="17" s="1"/>
  <c r="H74" i="17"/>
  <c r="Z73" i="17"/>
  <c r="Z77" i="17" s="1"/>
  <c r="Q73" i="17"/>
  <c r="S73" i="17" s="1"/>
  <c r="H73" i="17"/>
  <c r="H77" i="17" s="1"/>
  <c r="J77" i="17" s="1"/>
  <c r="Z66" i="17"/>
  <c r="AB66" i="17" s="1"/>
  <c r="Q66" i="17"/>
  <c r="S66" i="17" s="1"/>
  <c r="H66" i="17"/>
  <c r="J66" i="17" s="1"/>
  <c r="Z65" i="17"/>
  <c r="AB65" i="17" s="1"/>
  <c r="Q65" i="17"/>
  <c r="S65" i="17" s="1"/>
  <c r="H65" i="17"/>
  <c r="J65" i="17" s="1"/>
  <c r="Z64" i="17"/>
  <c r="Q64" i="17"/>
  <c r="Q67" i="17" s="1"/>
  <c r="S67" i="17" s="1"/>
  <c r="H64" i="17"/>
  <c r="J64" i="17" s="1"/>
  <c r="Z63" i="17"/>
  <c r="AB63" i="17" s="1"/>
  <c r="Q63" i="17"/>
  <c r="S63" i="17" s="1"/>
  <c r="H63" i="17"/>
  <c r="J63" i="17" s="1"/>
  <c r="Z62" i="17"/>
  <c r="AB62" i="17" s="1"/>
  <c r="AB68" i="17" s="1"/>
  <c r="Q62" i="17"/>
  <c r="Q68" i="17" s="1"/>
  <c r="H62" i="17"/>
  <c r="H68" i="17" s="1"/>
  <c r="J68" i="17" s="1"/>
  <c r="Z55" i="17"/>
  <c r="AB55" i="17" s="1"/>
  <c r="Q55" i="17"/>
  <c r="S55" i="17" s="1"/>
  <c r="H55" i="17"/>
  <c r="J55" i="17" s="1"/>
  <c r="Z54" i="17"/>
  <c r="AB54" i="17" s="1"/>
  <c r="Q54" i="17"/>
  <c r="S54" i="17" s="1"/>
  <c r="H54" i="17"/>
  <c r="J54" i="17" s="1"/>
  <c r="Z53" i="17"/>
  <c r="Q53" i="17"/>
  <c r="S53" i="17" s="1"/>
  <c r="H53" i="17"/>
  <c r="J53" i="17" s="1"/>
  <c r="Z52" i="17"/>
  <c r="AB52" i="17" s="1"/>
  <c r="Q52" i="17"/>
  <c r="S52" i="17" s="1"/>
  <c r="H52" i="17"/>
  <c r="J52" i="17" s="1"/>
  <c r="Z51" i="17"/>
  <c r="AB51" i="17" s="1"/>
  <c r="AB57" i="17" s="1"/>
  <c r="Q51" i="17"/>
  <c r="Q57" i="17" s="1"/>
  <c r="S57" i="17" s="1"/>
  <c r="H51" i="17"/>
  <c r="H57" i="17" s="1"/>
  <c r="J57" i="17" s="1"/>
  <c r="Z44" i="17"/>
  <c r="AB44" i="17" s="1"/>
  <c r="Q44" i="17"/>
  <c r="S44" i="17" s="1"/>
  <c r="H44" i="17"/>
  <c r="J44" i="17" s="1"/>
  <c r="AB43" i="17"/>
  <c r="S43" i="17"/>
  <c r="J43" i="17"/>
  <c r="Z42" i="17"/>
  <c r="Q42" i="17"/>
  <c r="S42" i="17" s="1"/>
  <c r="H42" i="17"/>
  <c r="J42" i="17" s="1"/>
  <c r="Z41" i="17"/>
  <c r="AB41" i="17" s="1"/>
  <c r="Q41" i="17"/>
  <c r="S41" i="17" s="1"/>
  <c r="H41" i="17"/>
  <c r="J41" i="17" s="1"/>
  <c r="Z40" i="17"/>
  <c r="Q40" i="17"/>
  <c r="Q46" i="17" s="1"/>
  <c r="S46" i="17" s="1"/>
  <c r="H40" i="17"/>
  <c r="H46" i="17" s="1"/>
  <c r="J46" i="17" s="1"/>
  <c r="G13" i="10"/>
  <c r="Q56" i="10"/>
  <c r="S56" i="10" s="1"/>
  <c r="H56" i="10"/>
  <c r="J56" i="10" s="1"/>
  <c r="H54" i="10"/>
  <c r="J54" i="10" s="1"/>
  <c r="K54" i="10" s="1"/>
  <c r="H52" i="10"/>
  <c r="J52" i="10" s="1"/>
  <c r="Q43" i="10"/>
  <c r="S43" i="10" s="1"/>
  <c r="L15" i="10"/>
  <c r="K15" i="10"/>
  <c r="J15" i="10"/>
  <c r="L14" i="10"/>
  <c r="K14" i="10"/>
  <c r="J14" i="10"/>
  <c r="L13" i="10"/>
  <c r="K13" i="10"/>
  <c r="J13" i="10"/>
  <c r="L12" i="10"/>
  <c r="K12" i="10"/>
  <c r="J12" i="10"/>
  <c r="L11" i="10"/>
  <c r="K11" i="10"/>
  <c r="L7" i="10"/>
  <c r="K7" i="10"/>
  <c r="F13" i="10"/>
  <c r="E13" i="10"/>
  <c r="G9" i="10"/>
  <c r="F9" i="10"/>
  <c r="E9" i="10"/>
  <c r="Z84" i="8"/>
  <c r="AB84" i="8" s="1"/>
  <c r="AB88" i="8" s="1"/>
  <c r="L8" i="8"/>
  <c r="Z76" i="8"/>
  <c r="AB76" i="8" s="1"/>
  <c r="Z74" i="8"/>
  <c r="AB74" i="8" s="1"/>
  <c r="Z63" i="8"/>
  <c r="AB63" i="8" s="1"/>
  <c r="Z73" i="8"/>
  <c r="Z62" i="8"/>
  <c r="Z75" i="8"/>
  <c r="AB75" i="8" s="1"/>
  <c r="Z64" i="8"/>
  <c r="AB64" i="8" s="1"/>
  <c r="Q74" i="8"/>
  <c r="S74" i="8" s="1"/>
  <c r="Q75" i="8"/>
  <c r="S75" i="8" s="1"/>
  <c r="Q64" i="8"/>
  <c r="S64" i="8" s="1"/>
  <c r="Q73" i="8"/>
  <c r="S79" i="8" s="1"/>
  <c r="Q62" i="8"/>
  <c r="S62" i="8" s="1"/>
  <c r="Q65" i="8"/>
  <c r="S65" i="8" s="1"/>
  <c r="Q63" i="8"/>
  <c r="S63" i="8" s="1"/>
  <c r="H76" i="8"/>
  <c r="H75" i="8"/>
  <c r="J75" i="8" s="1"/>
  <c r="H64" i="8"/>
  <c r="J64" i="8" s="1"/>
  <c r="H74" i="8"/>
  <c r="J74" i="8" s="1"/>
  <c r="H65" i="8"/>
  <c r="J65" i="8" s="1"/>
  <c r="H63" i="8"/>
  <c r="J63" i="8" s="1"/>
  <c r="H73" i="8"/>
  <c r="J73" i="8" s="1"/>
  <c r="H62" i="8"/>
  <c r="J62" i="8" s="1"/>
  <c r="Z85" i="8"/>
  <c r="Z86" i="8"/>
  <c r="AB86" i="8" s="1"/>
  <c r="Q86" i="8"/>
  <c r="S86" i="8" s="1"/>
  <c r="Q85" i="8"/>
  <c r="S85" i="8" s="1"/>
  <c r="Q84" i="8"/>
  <c r="S84" i="8" s="1"/>
  <c r="H84" i="8"/>
  <c r="J84" i="8" s="1"/>
  <c r="H86" i="8"/>
  <c r="J86" i="8" s="1"/>
  <c r="H85" i="8"/>
  <c r="J85" i="8" s="1"/>
  <c r="Z55" i="8"/>
  <c r="AB55" i="8" s="1"/>
  <c r="Z54" i="8"/>
  <c r="AB54" i="8" s="1"/>
  <c r="Z53" i="8"/>
  <c r="Z52" i="8"/>
  <c r="Z51" i="8"/>
  <c r="Z50" i="8"/>
  <c r="Z49" i="8"/>
  <c r="Z46" i="8"/>
  <c r="Z48" i="8"/>
  <c r="AB48" i="8" s="1"/>
  <c r="Z47" i="8"/>
  <c r="AB47" i="8" s="1"/>
  <c r="Q46" i="8"/>
  <c r="Q57" i="8" s="1"/>
  <c r="Q55" i="8"/>
  <c r="S55" i="8" s="1"/>
  <c r="Q54" i="8"/>
  <c r="S54" i="8" s="1"/>
  <c r="Q53" i="8"/>
  <c r="S53" i="8" s="1"/>
  <c r="Q52" i="8"/>
  <c r="S52" i="8" s="1"/>
  <c r="Q51" i="8"/>
  <c r="S51" i="8" s="1"/>
  <c r="Q50" i="8"/>
  <c r="S50" i="8" s="1"/>
  <c r="Q49" i="8"/>
  <c r="S49" i="8" s="1"/>
  <c r="Q48" i="8"/>
  <c r="Q56" i="8" s="1"/>
  <c r="Q47" i="8"/>
  <c r="S47" i="8" s="1"/>
  <c r="H55" i="8"/>
  <c r="J55" i="8" s="1"/>
  <c r="H54" i="8"/>
  <c r="J54" i="8" s="1"/>
  <c r="H53" i="8"/>
  <c r="J53" i="8" s="1"/>
  <c r="H52" i="8"/>
  <c r="J52" i="8" s="1"/>
  <c r="H51" i="8"/>
  <c r="J51" i="8" s="1"/>
  <c r="H50" i="8"/>
  <c r="J50" i="8" s="1"/>
  <c r="H49" i="8"/>
  <c r="J49" i="8" s="1"/>
  <c r="H47" i="8"/>
  <c r="J47" i="8" s="1"/>
  <c r="H46" i="8"/>
  <c r="J46" i="8" s="1"/>
  <c r="K8" i="8"/>
  <c r="J8" i="8"/>
  <c r="H48" i="8"/>
  <c r="J48" i="8" s="1"/>
  <c r="R163" i="27" l="1"/>
  <c r="Q163" i="27"/>
  <c r="Q38" i="20"/>
  <c r="S38" i="20" s="1"/>
  <c r="H38" i="20"/>
  <c r="J38" i="20" s="1"/>
  <c r="AB77" i="18"/>
  <c r="AA78" i="18"/>
  <c r="AA57" i="18"/>
  <c r="AC57" i="18" s="1"/>
  <c r="R78" i="18"/>
  <c r="T78" i="18" s="1"/>
  <c r="Q70" i="18"/>
  <c r="S70" i="18" s="1"/>
  <c r="R67" i="18"/>
  <c r="T67" i="18" s="1"/>
  <c r="Q48" i="18"/>
  <c r="S48" i="18" s="1"/>
  <c r="H49" i="18"/>
  <c r="J49" i="18" s="1"/>
  <c r="Q79" i="18"/>
  <c r="S79" i="18" s="1"/>
  <c r="H48" i="18"/>
  <c r="J48" i="18" s="1"/>
  <c r="Q80" i="18"/>
  <c r="S80" i="18" s="1"/>
  <c r="R56" i="18"/>
  <c r="T56" i="18" s="1"/>
  <c r="Q59" i="18"/>
  <c r="S59" i="18" s="1"/>
  <c r="R45" i="18"/>
  <c r="T45" i="18" s="1"/>
  <c r="H70" i="18"/>
  <c r="J70" i="18" s="1"/>
  <c r="I67" i="18"/>
  <c r="K67" i="18" s="1"/>
  <c r="AB65" i="18"/>
  <c r="AB71" i="18" s="1"/>
  <c r="AA54" i="18"/>
  <c r="AA60" i="18" s="1"/>
  <c r="AC60" i="18" s="1"/>
  <c r="Z60" i="18"/>
  <c r="AA43" i="18"/>
  <c r="AA49" i="18" s="1"/>
  <c r="AA76" i="18"/>
  <c r="AA80" i="18" s="1"/>
  <c r="AB43" i="18"/>
  <c r="AB49" i="18" s="1"/>
  <c r="AB76" i="18"/>
  <c r="AB80" i="18" s="1"/>
  <c r="AA65" i="18"/>
  <c r="AA71" i="18" s="1"/>
  <c r="J76" i="18"/>
  <c r="J65" i="18"/>
  <c r="H60" i="18"/>
  <c r="J60" i="18" s="1"/>
  <c r="Q37" i="20"/>
  <c r="S37" i="20" s="1"/>
  <c r="Z36" i="20"/>
  <c r="AB36" i="20" s="1"/>
  <c r="H37" i="20"/>
  <c r="H45" i="20" s="1"/>
  <c r="I45" i="20" s="1"/>
  <c r="Z37" i="20"/>
  <c r="Z39" i="20" s="1"/>
  <c r="AB39" i="20" s="1"/>
  <c r="Q37" i="19"/>
  <c r="Q41" i="19" s="1"/>
  <c r="S41" i="19" s="1"/>
  <c r="Q45" i="20"/>
  <c r="Q49" i="20" s="1"/>
  <c r="Z37" i="19"/>
  <c r="Z41" i="19" s="1"/>
  <c r="AB41" i="19" s="1"/>
  <c r="Q44" i="20"/>
  <c r="R44" i="20" s="1"/>
  <c r="H36" i="20"/>
  <c r="J36" i="20" s="1"/>
  <c r="Z45" i="20"/>
  <c r="AA45" i="20" s="1"/>
  <c r="Z68" i="17"/>
  <c r="AA40" i="17"/>
  <c r="AA46" i="17" s="1"/>
  <c r="Q45" i="17"/>
  <c r="S45" i="17" s="1"/>
  <c r="AA66" i="17"/>
  <c r="AC66" i="17" s="1"/>
  <c r="Q56" i="17"/>
  <c r="S56" i="17" s="1"/>
  <c r="S64" i="17"/>
  <c r="AB74" i="17"/>
  <c r="J40" i="17"/>
  <c r="Z46" i="19"/>
  <c r="Z54" i="19" s="1"/>
  <c r="AB54" i="19" s="1"/>
  <c r="Q47" i="19"/>
  <c r="Q51" i="19" s="1"/>
  <c r="S51" i="19" s="1"/>
  <c r="H42" i="10"/>
  <c r="I42" i="10" s="1"/>
  <c r="R38" i="20"/>
  <c r="T38" i="20" s="1"/>
  <c r="R46" i="20"/>
  <c r="T46" i="20" s="1"/>
  <c r="I46" i="20"/>
  <c r="K46" i="20" s="1"/>
  <c r="I50" i="20"/>
  <c r="K50" i="20" s="1"/>
  <c r="I38" i="20"/>
  <c r="K38" i="20" s="1"/>
  <c r="AA38" i="20"/>
  <c r="AC38" i="20" s="1"/>
  <c r="Q36" i="20"/>
  <c r="R36" i="20" s="1"/>
  <c r="Z44" i="20"/>
  <c r="AA44" i="20" s="1"/>
  <c r="AA50" i="20"/>
  <c r="AC50" i="20" s="1"/>
  <c r="R50" i="20"/>
  <c r="T50" i="20" s="1"/>
  <c r="AA46" i="20"/>
  <c r="AC46" i="20" s="1"/>
  <c r="Q50" i="10"/>
  <c r="S50" i="10" s="1"/>
  <c r="H43" i="10"/>
  <c r="J43" i="10" s="1"/>
  <c r="Q51" i="10"/>
  <c r="Q53" i="10" s="1"/>
  <c r="S53" i="10" s="1"/>
  <c r="Z38" i="19"/>
  <c r="AB38" i="19" s="1"/>
  <c r="H39" i="19"/>
  <c r="J39" i="19" s="1"/>
  <c r="Q46" i="19"/>
  <c r="Q54" i="19" s="1"/>
  <c r="S54" i="19" s="1"/>
  <c r="H38" i="19"/>
  <c r="H47" i="19" s="1"/>
  <c r="I47" i="19" s="1"/>
  <c r="Q38" i="19"/>
  <c r="Q40" i="19" s="1"/>
  <c r="S40" i="19" s="1"/>
  <c r="H37" i="19"/>
  <c r="I37" i="19" s="1"/>
  <c r="Z47" i="19"/>
  <c r="Z49" i="19" s="1"/>
  <c r="AB49" i="19" s="1"/>
  <c r="R48" i="19"/>
  <c r="T48" i="19" s="1"/>
  <c r="AA48" i="19"/>
  <c r="AC48" i="19" s="1"/>
  <c r="AA52" i="19"/>
  <c r="AC52" i="19" s="1"/>
  <c r="I48" i="19"/>
  <c r="K48" i="19" s="1"/>
  <c r="I52" i="19"/>
  <c r="K52" i="19" s="1"/>
  <c r="AA39" i="19"/>
  <c r="AC39" i="19" s="1"/>
  <c r="R52" i="19"/>
  <c r="T52" i="19" s="1"/>
  <c r="Q39" i="19"/>
  <c r="S39" i="19" s="1"/>
  <c r="AB70" i="18"/>
  <c r="AA70" i="18"/>
  <c r="AB59" i="18"/>
  <c r="AA59" i="18"/>
  <c r="AB48" i="18"/>
  <c r="AA48" i="18"/>
  <c r="I47" i="18"/>
  <c r="K47" i="18" s="1"/>
  <c r="I58" i="18"/>
  <c r="K58" i="18" s="1"/>
  <c r="I69" i="18"/>
  <c r="K69" i="18" s="1"/>
  <c r="I80" i="18"/>
  <c r="K80" i="18" s="1"/>
  <c r="H59" i="18"/>
  <c r="J59" i="18" s="1"/>
  <c r="I43" i="18"/>
  <c r="K43" i="18" s="1"/>
  <c r="AA44" i="18"/>
  <c r="AC44" i="18" s="1"/>
  <c r="R46" i="18"/>
  <c r="T46" i="18" s="1"/>
  <c r="I54" i="18"/>
  <c r="K54" i="18" s="1"/>
  <c r="AA55" i="18"/>
  <c r="AC55" i="18" s="1"/>
  <c r="R57" i="18"/>
  <c r="T57" i="18" s="1"/>
  <c r="I65" i="18"/>
  <c r="AA66" i="18"/>
  <c r="AC66" i="18" s="1"/>
  <c r="R68" i="18"/>
  <c r="T68" i="18" s="1"/>
  <c r="I76" i="18"/>
  <c r="AA77" i="18"/>
  <c r="I44" i="18"/>
  <c r="K44" i="18" s="1"/>
  <c r="I55" i="18"/>
  <c r="K55" i="18" s="1"/>
  <c r="AB78" i="18"/>
  <c r="AC78" i="18" s="1"/>
  <c r="I45" i="18"/>
  <c r="K45" i="18" s="1"/>
  <c r="AA46" i="18"/>
  <c r="AC46" i="18" s="1"/>
  <c r="R54" i="18"/>
  <c r="I56" i="18"/>
  <c r="K56" i="18" s="1"/>
  <c r="R65" i="18"/>
  <c r="R76" i="18"/>
  <c r="T76" i="18" s="1"/>
  <c r="I78" i="18"/>
  <c r="K78" i="18" s="1"/>
  <c r="S43" i="18"/>
  <c r="S54" i="18"/>
  <c r="S65" i="18"/>
  <c r="Q71" i="18"/>
  <c r="R71" i="18" s="1"/>
  <c r="T71" i="18" s="1"/>
  <c r="H79" i="18"/>
  <c r="J79" i="18" s="1"/>
  <c r="AA45" i="18"/>
  <c r="R47" i="18"/>
  <c r="T47" i="18" s="1"/>
  <c r="AA56" i="18"/>
  <c r="R58" i="18"/>
  <c r="T58" i="18" s="1"/>
  <c r="I66" i="18"/>
  <c r="K66" i="18" s="1"/>
  <c r="AA67" i="18"/>
  <c r="R69" i="18"/>
  <c r="T69" i="18" s="1"/>
  <c r="I71" i="18"/>
  <c r="K71" i="18" s="1"/>
  <c r="I77" i="18"/>
  <c r="K77" i="18" s="1"/>
  <c r="AB45" i="18"/>
  <c r="AB56" i="18"/>
  <c r="AB67" i="18"/>
  <c r="AA68" i="18"/>
  <c r="AC68" i="18" s="1"/>
  <c r="AA79" i="18"/>
  <c r="AC79" i="18" s="1"/>
  <c r="R44" i="18"/>
  <c r="T44" i="18" s="1"/>
  <c r="I46" i="18"/>
  <c r="K46" i="18" s="1"/>
  <c r="AA47" i="18"/>
  <c r="AC47" i="18" s="1"/>
  <c r="R49" i="18"/>
  <c r="T49" i="18" s="1"/>
  <c r="R55" i="18"/>
  <c r="T55" i="18" s="1"/>
  <c r="I57" i="18"/>
  <c r="K57" i="18" s="1"/>
  <c r="AA58" i="18"/>
  <c r="AC58" i="18" s="1"/>
  <c r="R60" i="18"/>
  <c r="T60" i="18" s="1"/>
  <c r="R66" i="18"/>
  <c r="T66" i="18" s="1"/>
  <c r="I68" i="18"/>
  <c r="K68" i="18" s="1"/>
  <c r="AA69" i="18"/>
  <c r="AC69" i="18" s="1"/>
  <c r="R77" i="18"/>
  <c r="T77" i="18" s="1"/>
  <c r="R43" i="18"/>
  <c r="J62" i="17"/>
  <c r="Z57" i="17"/>
  <c r="AB40" i="17"/>
  <c r="AB46" i="17" s="1"/>
  <c r="J51" i="17"/>
  <c r="J73" i="17"/>
  <c r="R74" i="17"/>
  <c r="AB73" i="17"/>
  <c r="AB77" i="17" s="1"/>
  <c r="Q77" i="17"/>
  <c r="R77" i="17" s="1"/>
  <c r="Z46" i="17"/>
  <c r="I52" i="17"/>
  <c r="K52" i="17" s="1"/>
  <c r="Z67" i="17"/>
  <c r="AB67" i="17" s="1"/>
  <c r="AB64" i="17"/>
  <c r="I57" i="17"/>
  <c r="K57" i="17" s="1"/>
  <c r="AA64" i="17"/>
  <c r="R66" i="17"/>
  <c r="T66" i="17" s="1"/>
  <c r="I63" i="17"/>
  <c r="K63" i="17" s="1"/>
  <c r="AB75" i="17"/>
  <c r="AA75" i="17"/>
  <c r="R44" i="17"/>
  <c r="T44" i="17" s="1"/>
  <c r="H76" i="17"/>
  <c r="J76" i="17" s="1"/>
  <c r="I74" i="17"/>
  <c r="J74" i="17"/>
  <c r="I41" i="17"/>
  <c r="K41" i="17" s="1"/>
  <c r="AB53" i="17"/>
  <c r="Z56" i="17"/>
  <c r="AB56" i="17" s="1"/>
  <c r="R55" i="17"/>
  <c r="T55" i="17" s="1"/>
  <c r="Z45" i="17"/>
  <c r="AB45" i="17" s="1"/>
  <c r="AB42" i="17"/>
  <c r="AA42" i="17"/>
  <c r="I46" i="17"/>
  <c r="K46" i="17" s="1"/>
  <c r="AA53" i="17"/>
  <c r="I68" i="17"/>
  <c r="K68" i="17" s="1"/>
  <c r="R40" i="17"/>
  <c r="R62" i="17"/>
  <c r="I64" i="17"/>
  <c r="K64" i="17" s="1"/>
  <c r="AA76" i="17"/>
  <c r="AC76" i="17" s="1"/>
  <c r="S40" i="17"/>
  <c r="S68" i="17"/>
  <c r="S74" i="17"/>
  <c r="R42" i="17"/>
  <c r="T42" i="17" s="1"/>
  <c r="I44" i="17"/>
  <c r="K44" i="17" s="1"/>
  <c r="AA51" i="17"/>
  <c r="R53" i="17"/>
  <c r="T53" i="17" s="1"/>
  <c r="I55" i="17"/>
  <c r="K55" i="17" s="1"/>
  <c r="AA62" i="17"/>
  <c r="R64" i="17"/>
  <c r="I66" i="17"/>
  <c r="K66" i="17" s="1"/>
  <c r="AA73" i="17"/>
  <c r="R75" i="17"/>
  <c r="T75" i="17" s="1"/>
  <c r="I77" i="17"/>
  <c r="K77" i="17" s="1"/>
  <c r="I42" i="17"/>
  <c r="K42" i="17" s="1"/>
  <c r="AA43" i="17"/>
  <c r="AC43" i="17" s="1"/>
  <c r="I53" i="17"/>
  <c r="K53" i="17" s="1"/>
  <c r="AA65" i="17"/>
  <c r="AC65" i="17" s="1"/>
  <c r="H45" i="17"/>
  <c r="J45" i="17" s="1"/>
  <c r="H56" i="17"/>
  <c r="J56" i="17" s="1"/>
  <c r="H67" i="17"/>
  <c r="J67" i="17" s="1"/>
  <c r="I40" i="17"/>
  <c r="AA41" i="17"/>
  <c r="AC41" i="17" s="1"/>
  <c r="R43" i="17"/>
  <c r="T43" i="17" s="1"/>
  <c r="I51" i="17"/>
  <c r="AA52" i="17"/>
  <c r="AC52" i="17" s="1"/>
  <c r="R54" i="17"/>
  <c r="T54" i="17" s="1"/>
  <c r="I62" i="17"/>
  <c r="AA63" i="17"/>
  <c r="AC63" i="17" s="1"/>
  <c r="R65" i="17"/>
  <c r="T65" i="17" s="1"/>
  <c r="I73" i="17"/>
  <c r="AA74" i="17"/>
  <c r="R76" i="17"/>
  <c r="T76" i="17" s="1"/>
  <c r="R51" i="17"/>
  <c r="AA54" i="17"/>
  <c r="AC54" i="17" s="1"/>
  <c r="R67" i="17"/>
  <c r="T67" i="17" s="1"/>
  <c r="R73" i="17"/>
  <c r="T73" i="17" s="1"/>
  <c r="I75" i="17"/>
  <c r="K75" i="17" s="1"/>
  <c r="S51" i="17"/>
  <c r="S62" i="17"/>
  <c r="R41" i="17"/>
  <c r="T41" i="17" s="1"/>
  <c r="I43" i="17"/>
  <c r="K43" i="17" s="1"/>
  <c r="AA44" i="17"/>
  <c r="AC44" i="17" s="1"/>
  <c r="R46" i="17"/>
  <c r="T46" i="17" s="1"/>
  <c r="R52" i="17"/>
  <c r="T52" i="17" s="1"/>
  <c r="I54" i="17"/>
  <c r="K54" i="17" s="1"/>
  <c r="AA55" i="17"/>
  <c r="AC55" i="17" s="1"/>
  <c r="R57" i="17"/>
  <c r="T57" i="17" s="1"/>
  <c r="R63" i="17"/>
  <c r="T63" i="17" s="1"/>
  <c r="I65" i="17"/>
  <c r="K65" i="17" s="1"/>
  <c r="R68" i="17"/>
  <c r="AA47" i="8"/>
  <c r="AC47" i="8" s="1"/>
  <c r="I74" i="8"/>
  <c r="K74" i="8" s="1"/>
  <c r="Z50" i="10"/>
  <c r="AB50" i="10" s="1"/>
  <c r="AA51" i="8"/>
  <c r="AA52" i="8"/>
  <c r="AA63" i="8"/>
  <c r="AC63" i="8" s="1"/>
  <c r="I56" i="10"/>
  <c r="AA53" i="8"/>
  <c r="AA74" i="8"/>
  <c r="AC74" i="8" s="1"/>
  <c r="Z42" i="10"/>
  <c r="AA42" i="10" s="1"/>
  <c r="AA62" i="8"/>
  <c r="AA68" i="8" s="1"/>
  <c r="AA86" i="8"/>
  <c r="AC86" i="8" s="1"/>
  <c r="AA85" i="8"/>
  <c r="AA49" i="8"/>
  <c r="I76" i="8"/>
  <c r="AA50" i="8"/>
  <c r="I62" i="8"/>
  <c r="K62" i="8" s="1"/>
  <c r="H41" i="10"/>
  <c r="I41" i="10" s="1"/>
  <c r="Z51" i="10"/>
  <c r="AB51" i="10" s="1"/>
  <c r="I63" i="8"/>
  <c r="K63" i="8" s="1"/>
  <c r="Q41" i="10"/>
  <c r="R41" i="10" s="1"/>
  <c r="Z41" i="10"/>
  <c r="AA41" i="10" s="1"/>
  <c r="AA76" i="8"/>
  <c r="AC76" i="8" s="1"/>
  <c r="Q42" i="10"/>
  <c r="R42" i="10" s="1"/>
  <c r="R43" i="10"/>
  <c r="I52" i="10"/>
  <c r="I73" i="8"/>
  <c r="K73" i="8" s="1"/>
  <c r="AA46" i="8"/>
  <c r="AA57" i="8" s="1"/>
  <c r="AA84" i="8"/>
  <c r="AA88" i="8" s="1"/>
  <c r="I64" i="8"/>
  <c r="K64" i="8" s="1"/>
  <c r="AA73" i="8"/>
  <c r="AA79" i="8" s="1"/>
  <c r="R56" i="10"/>
  <c r="R47" i="8"/>
  <c r="T47" i="8" s="1"/>
  <c r="R63" i="8"/>
  <c r="T63" i="8" s="1"/>
  <c r="AB73" i="8"/>
  <c r="AB79" i="8" s="1"/>
  <c r="AB62" i="8"/>
  <c r="AB68" i="8" s="1"/>
  <c r="R65" i="8"/>
  <c r="T65" i="8" s="1"/>
  <c r="I46" i="8"/>
  <c r="K46" i="8" s="1"/>
  <c r="AB52" i="8"/>
  <c r="J76" i="8"/>
  <c r="R85" i="8"/>
  <c r="T85" i="8" s="1"/>
  <c r="I75" i="8"/>
  <c r="K75" i="8" s="1"/>
  <c r="AB50" i="8"/>
  <c r="R73" i="8"/>
  <c r="R64" i="8"/>
  <c r="T64" i="8" s="1"/>
  <c r="AB53" i="8"/>
  <c r="AB85" i="8"/>
  <c r="R86" i="8"/>
  <c r="T86" i="8" s="1"/>
  <c r="S73" i="8"/>
  <c r="AB46" i="8"/>
  <c r="AB57" i="8" s="1"/>
  <c r="AB49" i="8"/>
  <c r="R46" i="8"/>
  <c r="R75" i="8"/>
  <c r="T75" i="8" s="1"/>
  <c r="R84" i="8"/>
  <c r="T84" i="8" s="1"/>
  <c r="R74" i="8"/>
  <c r="T74" i="8" s="1"/>
  <c r="AB51" i="8"/>
  <c r="I51" i="8"/>
  <c r="K51" i="8" s="1"/>
  <c r="S46" i="8"/>
  <c r="R62" i="8"/>
  <c r="T62" i="8" s="1"/>
  <c r="AA64" i="8"/>
  <c r="AC64" i="8" s="1"/>
  <c r="AA75" i="8"/>
  <c r="AC75" i="8" s="1"/>
  <c r="Z88" i="8"/>
  <c r="I65" i="8"/>
  <c r="K65" i="8" s="1"/>
  <c r="I50" i="8"/>
  <c r="K50" i="8" s="1"/>
  <c r="R55" i="8"/>
  <c r="T55" i="8" s="1"/>
  <c r="AA48" i="8"/>
  <c r="AC48" i="8" s="1"/>
  <c r="S48" i="8"/>
  <c r="R57" i="8"/>
  <c r="S57" i="8"/>
  <c r="R56" i="8"/>
  <c r="S56" i="8"/>
  <c r="I48" i="8"/>
  <c r="K48" i="8" s="1"/>
  <c r="R54" i="8"/>
  <c r="T54" i="8" s="1"/>
  <c r="R52" i="8"/>
  <c r="T52" i="8" s="1"/>
  <c r="R51" i="8"/>
  <c r="T51" i="8" s="1"/>
  <c r="AA55" i="8"/>
  <c r="AC55" i="8" s="1"/>
  <c r="I86" i="8"/>
  <c r="K86" i="8" s="1"/>
  <c r="H56" i="8"/>
  <c r="J56" i="8" s="1"/>
  <c r="I55" i="8"/>
  <c r="K55" i="8" s="1"/>
  <c r="R50" i="8"/>
  <c r="T50" i="8" s="1"/>
  <c r="AA54" i="8"/>
  <c r="AC54" i="8" s="1"/>
  <c r="I84" i="8"/>
  <c r="K84" i="8" s="1"/>
  <c r="I49" i="8"/>
  <c r="K49" i="8" s="1"/>
  <c r="I54" i="8"/>
  <c r="K54" i="8" s="1"/>
  <c r="R49" i="8"/>
  <c r="T49" i="8" s="1"/>
  <c r="I53" i="8"/>
  <c r="K53" i="8" s="1"/>
  <c r="R48" i="8"/>
  <c r="I85" i="8"/>
  <c r="K85" i="8" s="1"/>
  <c r="I47" i="8"/>
  <c r="K47" i="8" s="1"/>
  <c r="R53" i="8"/>
  <c r="T53" i="8" s="1"/>
  <c r="I52" i="8"/>
  <c r="K52" i="8" s="1"/>
  <c r="H57" i="8"/>
  <c r="J57" i="8" s="1"/>
  <c r="Z56" i="10"/>
  <c r="AB56" i="10" s="1"/>
  <c r="Z54" i="10"/>
  <c r="AB54" i="10" s="1"/>
  <c r="Z52" i="10"/>
  <c r="AB52" i="10" s="1"/>
  <c r="Z43" i="10"/>
  <c r="AA43" i="10" s="1"/>
  <c r="Q54" i="10"/>
  <c r="S54" i="10" s="1"/>
  <c r="Q52" i="10"/>
  <c r="S52" i="10" s="1"/>
  <c r="Z77" i="8"/>
  <c r="Z66" i="8"/>
  <c r="AB66" i="8" s="1"/>
  <c r="Z65" i="8"/>
  <c r="AB65" i="8" s="1"/>
  <c r="Z68" i="8"/>
  <c r="Z57" i="8"/>
  <c r="Z87" i="8"/>
  <c r="AB87" i="8" s="1"/>
  <c r="Q77" i="8"/>
  <c r="S77" i="8" s="1"/>
  <c r="Q76" i="8"/>
  <c r="S76" i="8" s="1"/>
  <c r="Q78" i="8"/>
  <c r="S78" i="8" s="1"/>
  <c r="Q66" i="8"/>
  <c r="S66" i="8" s="1"/>
  <c r="Q67" i="8"/>
  <c r="S67" i="8" s="1"/>
  <c r="Q87" i="8"/>
  <c r="S87" i="8" s="1"/>
  <c r="Q88" i="8"/>
  <c r="S88" i="8" s="1"/>
  <c r="H77" i="8"/>
  <c r="H66" i="8"/>
  <c r="H67" i="8"/>
  <c r="R70" i="18" l="1"/>
  <c r="T70" i="18" s="1"/>
  <c r="AC77" i="18"/>
  <c r="R56" i="17"/>
  <c r="T56" i="17" s="1"/>
  <c r="AC48" i="18"/>
  <c r="AA56" i="10"/>
  <c r="AC56" i="10" s="1"/>
  <c r="K65" i="18"/>
  <c r="AC67" i="18"/>
  <c r="I60" i="18"/>
  <c r="K60" i="18" s="1"/>
  <c r="R48" i="18"/>
  <c r="T48" i="18" s="1"/>
  <c r="K76" i="18"/>
  <c r="AC80" i="18"/>
  <c r="R79" i="18"/>
  <c r="T79" i="18" s="1"/>
  <c r="I70" i="18"/>
  <c r="K70" i="18" s="1"/>
  <c r="I49" i="18"/>
  <c r="K49" i="18" s="1"/>
  <c r="R59" i="18"/>
  <c r="T59" i="18" s="1"/>
  <c r="I48" i="18"/>
  <c r="K48" i="18" s="1"/>
  <c r="R80" i="18"/>
  <c r="T80" i="18" s="1"/>
  <c r="AC76" i="18"/>
  <c r="AC70" i="18"/>
  <c r="AC59" i="18"/>
  <c r="I59" i="18"/>
  <c r="K59" i="18" s="1"/>
  <c r="AC49" i="18"/>
  <c r="AC54" i="18"/>
  <c r="AC71" i="18"/>
  <c r="AC65" i="18"/>
  <c r="AC43" i="18"/>
  <c r="T54" i="18"/>
  <c r="I39" i="19"/>
  <c r="K39" i="19" s="1"/>
  <c r="AC74" i="17"/>
  <c r="AB37" i="20"/>
  <c r="AA37" i="20"/>
  <c r="H51" i="10"/>
  <c r="I51" i="10" s="1"/>
  <c r="J42" i="10"/>
  <c r="K42" i="10" s="1"/>
  <c r="Q39" i="20"/>
  <c r="S39" i="20" s="1"/>
  <c r="R37" i="20"/>
  <c r="T37" i="20" s="1"/>
  <c r="AA36" i="20"/>
  <c r="AC36" i="20" s="1"/>
  <c r="J37" i="20"/>
  <c r="Z40" i="20"/>
  <c r="AB40" i="20" s="1"/>
  <c r="I37" i="20"/>
  <c r="R41" i="19"/>
  <c r="T41" i="19" s="1"/>
  <c r="R37" i="19"/>
  <c r="AB45" i="20"/>
  <c r="AC45" i="20" s="1"/>
  <c r="S37" i="19"/>
  <c r="Z51" i="19"/>
  <c r="AB51" i="19" s="1"/>
  <c r="AA46" i="19"/>
  <c r="Q47" i="20"/>
  <c r="S47" i="20" s="1"/>
  <c r="AB37" i="19"/>
  <c r="H39" i="20"/>
  <c r="J39" i="20" s="1"/>
  <c r="Q51" i="20"/>
  <c r="S51" i="20" s="1"/>
  <c r="AA37" i="19"/>
  <c r="Z47" i="20"/>
  <c r="AB47" i="20" s="1"/>
  <c r="R45" i="20"/>
  <c r="S38" i="19"/>
  <c r="I38" i="19"/>
  <c r="Q53" i="19"/>
  <c r="S53" i="19" s="1"/>
  <c r="Z51" i="20"/>
  <c r="AB51" i="20" s="1"/>
  <c r="S45" i="20"/>
  <c r="S49" i="20"/>
  <c r="R49" i="20"/>
  <c r="Q49" i="19"/>
  <c r="S49" i="19" s="1"/>
  <c r="H44" i="20"/>
  <c r="I44" i="20" s="1"/>
  <c r="H40" i="20"/>
  <c r="I36" i="20"/>
  <c r="K36" i="20" s="1"/>
  <c r="AA54" i="19"/>
  <c r="AC54" i="19" s="1"/>
  <c r="Z40" i="19"/>
  <c r="Q52" i="20"/>
  <c r="S52" i="20" s="1"/>
  <c r="AB46" i="19"/>
  <c r="S44" i="20"/>
  <c r="T44" i="20" s="1"/>
  <c r="R47" i="19"/>
  <c r="AA38" i="19"/>
  <c r="AC38" i="19" s="1"/>
  <c r="S46" i="19"/>
  <c r="S47" i="19"/>
  <c r="Z49" i="20"/>
  <c r="AB49" i="20" s="1"/>
  <c r="R46" i="19"/>
  <c r="J38" i="19"/>
  <c r="T64" i="17"/>
  <c r="R45" i="17"/>
  <c r="T45" i="17" s="1"/>
  <c r="AA67" i="17"/>
  <c r="AC67" i="17" s="1"/>
  <c r="K40" i="17"/>
  <c r="K62" i="17"/>
  <c r="K73" i="17"/>
  <c r="AC64" i="17"/>
  <c r="I67" i="17"/>
  <c r="K67" i="17" s="1"/>
  <c r="AC42" i="17"/>
  <c r="K74" i="17"/>
  <c r="S77" i="17"/>
  <c r="T77" i="17" s="1"/>
  <c r="K51" i="17"/>
  <c r="AA45" i="17"/>
  <c r="AC45" i="17" s="1"/>
  <c r="AC40" i="17"/>
  <c r="AC46" i="17"/>
  <c r="R40" i="19"/>
  <c r="T40" i="19" s="1"/>
  <c r="H46" i="19"/>
  <c r="H54" i="19" s="1"/>
  <c r="H41" i="19"/>
  <c r="J41" i="19" s="1"/>
  <c r="J37" i="19"/>
  <c r="K37" i="19" s="1"/>
  <c r="R38" i="19"/>
  <c r="S51" i="10"/>
  <c r="Q55" i="10"/>
  <c r="S55" i="10" s="1"/>
  <c r="R50" i="10"/>
  <c r="T50" i="10" s="1"/>
  <c r="AA52" i="10"/>
  <c r="AC52" i="10" s="1"/>
  <c r="H47" i="20"/>
  <c r="H51" i="20"/>
  <c r="J45" i="20"/>
  <c r="K45" i="20" s="1"/>
  <c r="H49" i="20"/>
  <c r="AA39" i="20"/>
  <c r="AC39" i="20" s="1"/>
  <c r="Z52" i="20"/>
  <c r="AB44" i="20"/>
  <c r="AC44" i="20" s="1"/>
  <c r="Q40" i="20"/>
  <c r="S36" i="20"/>
  <c r="T36" i="20" s="1"/>
  <c r="I43" i="10"/>
  <c r="K43" i="10" s="1"/>
  <c r="Q58" i="10"/>
  <c r="S58" i="10" s="1"/>
  <c r="R51" i="10"/>
  <c r="R52" i="10"/>
  <c r="T52" i="10" s="1"/>
  <c r="AB47" i="19"/>
  <c r="Z53" i="19"/>
  <c r="AA47" i="19"/>
  <c r="AA49" i="19"/>
  <c r="AC49" i="19" s="1"/>
  <c r="R51" i="19"/>
  <c r="T51" i="19" s="1"/>
  <c r="H40" i="19"/>
  <c r="J40" i="19" s="1"/>
  <c r="H49" i="19"/>
  <c r="J47" i="19"/>
  <c r="K47" i="19" s="1"/>
  <c r="H51" i="19"/>
  <c r="H53" i="19"/>
  <c r="R39" i="19"/>
  <c r="T39" i="19" s="1"/>
  <c r="AA41" i="19"/>
  <c r="AC41" i="19" s="1"/>
  <c r="R54" i="19"/>
  <c r="T54" i="19" s="1"/>
  <c r="AC56" i="18"/>
  <c r="T65" i="18"/>
  <c r="T43" i="18"/>
  <c r="I79" i="18"/>
  <c r="K79" i="18" s="1"/>
  <c r="AC45" i="18"/>
  <c r="T62" i="17"/>
  <c r="T74" i="17"/>
  <c r="I56" i="17"/>
  <c r="K56" i="17" s="1"/>
  <c r="AA56" i="17"/>
  <c r="AC56" i="17" s="1"/>
  <c r="AC53" i="17"/>
  <c r="AA68" i="17"/>
  <c r="AC68" i="17" s="1"/>
  <c r="AC62" i="17"/>
  <c r="T68" i="17"/>
  <c r="T51" i="17"/>
  <c r="AA77" i="17"/>
  <c r="AC77" i="17" s="1"/>
  <c r="AC73" i="17"/>
  <c r="AC75" i="17"/>
  <c r="AA57" i="17"/>
  <c r="AC57" i="17" s="1"/>
  <c r="AC51" i="17"/>
  <c r="I45" i="17"/>
  <c r="K45" i="17" s="1"/>
  <c r="I76" i="17"/>
  <c r="K76" i="17" s="1"/>
  <c r="T40" i="17"/>
  <c r="H45" i="10"/>
  <c r="I45" i="10" s="1"/>
  <c r="J41" i="10"/>
  <c r="K41" i="10" s="1"/>
  <c r="Z58" i="10"/>
  <c r="AB58" i="10" s="1"/>
  <c r="H50" i="10"/>
  <c r="I50" i="10" s="1"/>
  <c r="AC51" i="8"/>
  <c r="AC85" i="8"/>
  <c r="AC52" i="8"/>
  <c r="AB42" i="10"/>
  <c r="AC42" i="10" s="1"/>
  <c r="AA50" i="10"/>
  <c r="AC49" i="8"/>
  <c r="T46" i="8"/>
  <c r="AC62" i="8"/>
  <c r="AA51" i="10"/>
  <c r="AC50" i="8"/>
  <c r="AC73" i="8"/>
  <c r="K76" i="8"/>
  <c r="AC53" i="8"/>
  <c r="Z57" i="10"/>
  <c r="AA57" i="10" s="1"/>
  <c r="AC84" i="8"/>
  <c r="R66" i="8"/>
  <c r="T66" i="8" s="1"/>
  <c r="Q44" i="10"/>
  <c r="S42" i="10"/>
  <c r="T42" i="10" s="1"/>
  <c r="S41" i="10"/>
  <c r="T41" i="10" s="1"/>
  <c r="Q45" i="10"/>
  <c r="AC46" i="8"/>
  <c r="Z45" i="10"/>
  <c r="AA45" i="10" s="1"/>
  <c r="R53" i="10"/>
  <c r="I66" i="8"/>
  <c r="J66" i="8"/>
  <c r="AB77" i="8"/>
  <c r="AA77" i="8"/>
  <c r="I67" i="8"/>
  <c r="J67" i="8"/>
  <c r="R77" i="8"/>
  <c r="T77" i="8" s="1"/>
  <c r="R78" i="8"/>
  <c r="T78" i="8" s="1"/>
  <c r="R87" i="8"/>
  <c r="T87" i="8" s="1"/>
  <c r="R67" i="8"/>
  <c r="T67" i="8" s="1"/>
  <c r="T73" i="8"/>
  <c r="R88" i="8"/>
  <c r="T88" i="8" s="1"/>
  <c r="J77" i="8"/>
  <c r="I77" i="8"/>
  <c r="AA66" i="8"/>
  <c r="AC66" i="8" s="1"/>
  <c r="R76" i="8"/>
  <c r="T76" i="8" s="1"/>
  <c r="AA87" i="8"/>
  <c r="AC88" i="8"/>
  <c r="AA65" i="8"/>
  <c r="AC65" i="8" s="1"/>
  <c r="T56" i="8"/>
  <c r="T48" i="8"/>
  <c r="I56" i="8"/>
  <c r="K56" i="8" s="1"/>
  <c r="T57" i="8"/>
  <c r="I57" i="8"/>
  <c r="K57" i="8" s="1"/>
  <c r="Z67" i="8"/>
  <c r="AB67" i="8" s="1"/>
  <c r="Z56" i="8"/>
  <c r="AB56" i="8" s="1"/>
  <c r="T54" i="10"/>
  <c r="H44" i="10"/>
  <c r="J44" i="10" s="1"/>
  <c r="Z44" i="10"/>
  <c r="AA44" i="10" s="1"/>
  <c r="Q57" i="10"/>
  <c r="K56" i="10"/>
  <c r="T56" i="10"/>
  <c r="Z53" i="10"/>
  <c r="AC54" i="10"/>
  <c r="K52" i="10"/>
  <c r="Z55" i="10"/>
  <c r="AB43" i="10"/>
  <c r="AC43" i="10" s="1"/>
  <c r="T43" i="10"/>
  <c r="AB41" i="10"/>
  <c r="Q68" i="8"/>
  <c r="Q79" i="8"/>
  <c r="R79" i="8" s="1"/>
  <c r="T79" i="8" s="1"/>
  <c r="Z79" i="8"/>
  <c r="Z78" i="8"/>
  <c r="AB78" i="8" s="1"/>
  <c r="H78" i="8"/>
  <c r="H79" i="8"/>
  <c r="H68" i="8"/>
  <c r="H87" i="8"/>
  <c r="H88" i="8"/>
  <c r="AC81" i="18" l="1"/>
  <c r="K81" i="18"/>
  <c r="K72" i="18"/>
  <c r="K73" i="18" s="1"/>
  <c r="H53" i="10"/>
  <c r="J53" i="10" s="1"/>
  <c r="T81" i="18"/>
  <c r="K61" i="18"/>
  <c r="K62" i="18" s="1"/>
  <c r="K50" i="18"/>
  <c r="K51" i="18" s="1"/>
  <c r="P205" i="27" s="1"/>
  <c r="AC72" i="18"/>
  <c r="AC73" i="18" s="1"/>
  <c r="AC61" i="18"/>
  <c r="AC62" i="18" s="1"/>
  <c r="T61" i="18"/>
  <c r="T62" i="18" s="1"/>
  <c r="AC50" i="18"/>
  <c r="AC51" i="18" s="1"/>
  <c r="R205" i="27" s="1"/>
  <c r="J51" i="10"/>
  <c r="K51" i="10" s="1"/>
  <c r="H57" i="10"/>
  <c r="I57" i="10" s="1"/>
  <c r="H55" i="10"/>
  <c r="I55" i="10" s="1"/>
  <c r="AC37" i="20"/>
  <c r="AA51" i="19"/>
  <c r="AC51" i="19" s="1"/>
  <c r="R39" i="20"/>
  <c r="T39" i="20" s="1"/>
  <c r="K37" i="20"/>
  <c r="R53" i="19"/>
  <c r="T53" i="19" s="1"/>
  <c r="R49" i="19"/>
  <c r="T49" i="19" s="1"/>
  <c r="AA40" i="20"/>
  <c r="AC40" i="20" s="1"/>
  <c r="T38" i="19"/>
  <c r="T37" i="19"/>
  <c r="T47" i="19"/>
  <c r="AA47" i="20"/>
  <c r="AC47" i="20" s="1"/>
  <c r="AC46" i="19"/>
  <c r="R47" i="20"/>
  <c r="T47" i="20" s="1"/>
  <c r="I39" i="20"/>
  <c r="K39" i="20" s="1"/>
  <c r="T46" i="19"/>
  <c r="AC37" i="19"/>
  <c r="K38" i="19"/>
  <c r="AA51" i="20"/>
  <c r="AC51" i="20" s="1"/>
  <c r="R51" i="20"/>
  <c r="T51" i="20" s="1"/>
  <c r="T45" i="20"/>
  <c r="J44" i="20"/>
  <c r="K44" i="20" s="1"/>
  <c r="H52" i="20"/>
  <c r="J52" i="20" s="1"/>
  <c r="R55" i="10"/>
  <c r="T49" i="20"/>
  <c r="I46" i="19"/>
  <c r="AB40" i="19"/>
  <c r="AA40" i="19"/>
  <c r="J40" i="20"/>
  <c r="I40" i="20"/>
  <c r="J46" i="19"/>
  <c r="I41" i="19"/>
  <c r="K41" i="19" s="1"/>
  <c r="AA49" i="20"/>
  <c r="AC49" i="20" s="1"/>
  <c r="R52" i="20"/>
  <c r="T52" i="20" s="1"/>
  <c r="AC47" i="19"/>
  <c r="K69" i="17"/>
  <c r="K70" i="17" s="1"/>
  <c r="T78" i="17"/>
  <c r="K47" i="17"/>
  <c r="K48" i="17" s="1"/>
  <c r="K58" i="17"/>
  <c r="K59" i="17" s="1"/>
  <c r="K78" i="17"/>
  <c r="AC47" i="17"/>
  <c r="AC48" i="17" s="1"/>
  <c r="I40" i="19"/>
  <c r="K40" i="19" s="1"/>
  <c r="J47" i="20"/>
  <c r="I47" i="20"/>
  <c r="J51" i="20"/>
  <c r="I51" i="20"/>
  <c r="J49" i="20"/>
  <c r="I49" i="20"/>
  <c r="S40" i="20"/>
  <c r="R40" i="20"/>
  <c r="AB52" i="20"/>
  <c r="AA52" i="20"/>
  <c r="R58" i="10"/>
  <c r="AB53" i="19"/>
  <c r="AA53" i="19"/>
  <c r="J51" i="19"/>
  <c r="I51" i="19"/>
  <c r="J54" i="19"/>
  <c r="I54" i="19"/>
  <c r="J53" i="19"/>
  <c r="I53" i="19"/>
  <c r="J49" i="19"/>
  <c r="I49" i="19"/>
  <c r="T50" i="18"/>
  <c r="T51" i="18" s="1"/>
  <c r="Q205" i="27" s="1"/>
  <c r="T72" i="18"/>
  <c r="T73" i="18" s="1"/>
  <c r="AC78" i="17"/>
  <c r="AC58" i="17"/>
  <c r="AC59" i="17" s="1"/>
  <c r="AC69" i="17"/>
  <c r="AC70" i="17" s="1"/>
  <c r="T69" i="17"/>
  <c r="T70" i="17" s="1"/>
  <c r="T58" i="17"/>
  <c r="T59" i="17" s="1"/>
  <c r="T47" i="17"/>
  <c r="T48" i="17" s="1"/>
  <c r="J45" i="10"/>
  <c r="K45" i="10" s="1"/>
  <c r="AA58" i="10"/>
  <c r="AC58" i="10" s="1"/>
  <c r="J50" i="10"/>
  <c r="K50" i="10" s="1"/>
  <c r="H58" i="10"/>
  <c r="I58" i="10" s="1"/>
  <c r="AB57" i="10"/>
  <c r="AC57" i="10" s="1"/>
  <c r="T89" i="8"/>
  <c r="S57" i="10"/>
  <c r="R57" i="10"/>
  <c r="S45" i="10"/>
  <c r="R45" i="10"/>
  <c r="AB53" i="10"/>
  <c r="AA53" i="10"/>
  <c r="AB55" i="10"/>
  <c r="AA55" i="10"/>
  <c r="K77" i="8"/>
  <c r="S44" i="10"/>
  <c r="R44" i="10"/>
  <c r="AC77" i="8"/>
  <c r="I44" i="10"/>
  <c r="I78" i="8"/>
  <c r="J78" i="8"/>
  <c r="K66" i="8"/>
  <c r="J68" i="8"/>
  <c r="I68" i="8"/>
  <c r="K58" i="8"/>
  <c r="K59" i="8" s="1"/>
  <c r="T80" i="8"/>
  <c r="K67" i="8"/>
  <c r="I79" i="8"/>
  <c r="J79" i="8"/>
  <c r="S68" i="8"/>
  <c r="R68" i="8"/>
  <c r="T58" i="8"/>
  <c r="AA78" i="8"/>
  <c r="AC79" i="8"/>
  <c r="AC87" i="8"/>
  <c r="AC89" i="8" s="1"/>
  <c r="AA67" i="8"/>
  <c r="AC67" i="8" s="1"/>
  <c r="AC68" i="8"/>
  <c r="AC57" i="8"/>
  <c r="J87" i="8"/>
  <c r="I87" i="8"/>
  <c r="J88" i="8"/>
  <c r="I88" i="8"/>
  <c r="AA56" i="8"/>
  <c r="AC56" i="8" s="1"/>
  <c r="AC41" i="10"/>
  <c r="T51" i="10"/>
  <c r="AC51" i="10"/>
  <c r="T53" i="10"/>
  <c r="AC50" i="10"/>
  <c r="AB44" i="10"/>
  <c r="AB45" i="10"/>
  <c r="O139" i="27" l="1"/>
  <c r="O138" i="27"/>
  <c r="Q183" i="27"/>
  <c r="P139" i="27"/>
  <c r="P138" i="27"/>
  <c r="R183" i="27"/>
  <c r="P183" i="27"/>
  <c r="N138" i="27"/>
  <c r="N139" i="27"/>
  <c r="I53" i="10"/>
  <c r="K53" i="10" s="1"/>
  <c r="P164" i="27"/>
  <c r="O140" i="27"/>
  <c r="O141" i="27"/>
  <c r="P141" i="27"/>
  <c r="P140" i="27"/>
  <c r="N141" i="27"/>
  <c r="N140" i="27"/>
  <c r="AC41" i="20"/>
  <c r="AC42" i="20" s="1"/>
  <c r="J57" i="10"/>
  <c r="K57" i="10" s="1"/>
  <c r="J55" i="10"/>
  <c r="K55" i="10" s="1"/>
  <c r="T42" i="19"/>
  <c r="T43" i="19" s="1"/>
  <c r="T55" i="19"/>
  <c r="T56" i="19" s="1"/>
  <c r="K51" i="19"/>
  <c r="K42" i="19"/>
  <c r="K43" i="19" s="1"/>
  <c r="K47" i="20"/>
  <c r="T53" i="20"/>
  <c r="T54" i="20" s="1"/>
  <c r="K46" i="19"/>
  <c r="I52" i="20"/>
  <c r="K52" i="20" s="1"/>
  <c r="AC40" i="19"/>
  <c r="AC42" i="19" s="1"/>
  <c r="AC43" i="19" s="1"/>
  <c r="K51" i="20"/>
  <c r="K49" i="19"/>
  <c r="AC53" i="19"/>
  <c r="AC55" i="19" s="1"/>
  <c r="AC56" i="19" s="1"/>
  <c r="K49" i="20"/>
  <c r="K40" i="20"/>
  <c r="AC52" i="20"/>
  <c r="T40" i="20"/>
  <c r="K54" i="19"/>
  <c r="K53" i="19"/>
  <c r="J58" i="10"/>
  <c r="K58" i="10" s="1"/>
  <c r="K68" i="8"/>
  <c r="K69" i="8" s="1"/>
  <c r="K70" i="8" s="1"/>
  <c r="H108" i="8" s="1"/>
  <c r="T68" i="8"/>
  <c r="T69" i="8" s="1"/>
  <c r="K87" i="8"/>
  <c r="K79" i="8"/>
  <c r="K44" i="10"/>
  <c r="T57" i="10"/>
  <c r="K78" i="8"/>
  <c r="AC58" i="8"/>
  <c r="AC59" i="8" s="1"/>
  <c r="AC69" i="8"/>
  <c r="AC70" i="8" s="1"/>
  <c r="AC78" i="8"/>
  <c r="K88" i="8"/>
  <c r="T55" i="10"/>
  <c r="T58" i="10"/>
  <c r="AC53" i="10"/>
  <c r="AC55" i="10"/>
  <c r="T44" i="10"/>
  <c r="AC44" i="10"/>
  <c r="AC45" i="10"/>
  <c r="T45" i="10"/>
  <c r="T59" i="8"/>
  <c r="T81" i="8"/>
  <c r="H110" i="8" l="1"/>
  <c r="P136" i="27" s="1"/>
  <c r="R164" i="27"/>
  <c r="H106" i="8"/>
  <c r="O137" i="27" s="1"/>
  <c r="Q164" i="27"/>
  <c r="E68" i="19"/>
  <c r="R184" i="27" s="1"/>
  <c r="E65" i="19"/>
  <c r="P52" i="27" s="1"/>
  <c r="E64" i="19"/>
  <c r="O52" i="27" s="1"/>
  <c r="E67" i="19"/>
  <c r="Q184" i="27" s="1"/>
  <c r="K80" i="8"/>
  <c r="K81" i="8" s="1"/>
  <c r="H105" i="8" s="1"/>
  <c r="N137" i="27" s="1"/>
  <c r="K53" i="20"/>
  <c r="K54" i="20" s="1"/>
  <c r="K55" i="19"/>
  <c r="K56" i="19" s="1"/>
  <c r="E63" i="19" s="1"/>
  <c r="K41" i="20"/>
  <c r="K42" i="20" s="1"/>
  <c r="T41" i="20"/>
  <c r="T42" i="20" s="1"/>
  <c r="AC53" i="20"/>
  <c r="AC54" i="20" s="1"/>
  <c r="T70" i="8"/>
  <c r="H109" i="8" s="1"/>
  <c r="O136" i="27" s="1"/>
  <c r="K89" i="8"/>
  <c r="K46" i="10"/>
  <c r="K47" i="10" s="1"/>
  <c r="T46" i="10"/>
  <c r="T47" i="10" s="1"/>
  <c r="AC80" i="8"/>
  <c r="AC81" i="8" s="1"/>
  <c r="H107" i="8" s="1"/>
  <c r="P137" i="27" s="1"/>
  <c r="T59" i="10"/>
  <c r="T60" i="10" s="1"/>
  <c r="K59" i="10"/>
  <c r="K60" i="10" s="1"/>
  <c r="AC59" i="10"/>
  <c r="AC60" i="10" s="1"/>
  <c r="AC46" i="10"/>
  <c r="E70" i="10" l="1"/>
  <c r="O51" i="27"/>
  <c r="P51" i="27"/>
  <c r="N52" i="27"/>
  <c r="E66" i="19"/>
  <c r="E64" i="20"/>
  <c r="E71" i="10"/>
  <c r="E68" i="10"/>
  <c r="E61" i="20"/>
  <c r="N54" i="27" s="1"/>
  <c r="E63" i="20"/>
  <c r="E66" i="20"/>
  <c r="R206" i="27" s="1"/>
  <c r="E62" i="20"/>
  <c r="E65" i="20"/>
  <c r="Q206" i="27" s="1"/>
  <c r="AC47" i="10"/>
  <c r="O50" i="27" l="1"/>
  <c r="Q165" i="27"/>
  <c r="O49" i="27"/>
  <c r="P206" i="27"/>
  <c r="N53" i="27"/>
  <c r="P184" i="27"/>
  <c r="N51" i="27"/>
  <c r="E72" i="10"/>
  <c r="E69" i="10"/>
  <c r="P165" i="27"/>
  <c r="N49" i="27"/>
  <c r="N50" i="27"/>
  <c r="O53" i="27"/>
  <c r="O54" i="27"/>
  <c r="P54" i="27"/>
  <c r="P53" i="27"/>
  <c r="P50" i="27" l="1"/>
  <c r="R165" i="27"/>
  <c r="P4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tc={42883263-6389-2744-8DAE-117E39FD10A0}</author>
  </authors>
  <commentList>
    <comment ref="Q65" authorId="0" shapeId="0" xr:uid="{42883263-6389-2744-8DAE-117E39FD10A0}">
      <text>
        <t>[Threaded comment]
Your version of Excel allows you to read this threaded comment; however, any edits to it will get removed if the file is opened in a newer version of Excel. Learn more: https://go.microsoft.com/fwlink/?linkid=870924
Comment:
    @Ortega, Tina why is AUV install ops so much longer?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<sst xmlns="http://schemas.openxmlformats.org/spreadsheetml/2006/main" count="4373" uniqueCount="1027">
  <si>
    <t>Length (ft)</t>
  </si>
  <si>
    <t>Beam (ft)</t>
  </si>
  <si>
    <t>Draft (ft)</t>
  </si>
  <si>
    <t>Supplier</t>
  </si>
  <si>
    <t>Operational Detail</t>
  </si>
  <si>
    <t>Vessel Status</t>
  </si>
  <si>
    <t># of days</t>
  </si>
  <si>
    <t>Mob/Demob</t>
  </si>
  <si>
    <t>Transit</t>
  </si>
  <si>
    <t>-</t>
  </si>
  <si>
    <t>Install ops</t>
  </si>
  <si>
    <t>Standby for testing and commisioning</t>
  </si>
  <si>
    <t>Standby</t>
  </si>
  <si>
    <t>Operational contingency</t>
  </si>
  <si>
    <t>Nearshore</t>
  </si>
  <si>
    <t>High Latitude</t>
  </si>
  <si>
    <t>Vessel Information</t>
  </si>
  <si>
    <t>Value</t>
  </si>
  <si>
    <t>Location Information</t>
  </si>
  <si>
    <t>Description</t>
  </si>
  <si>
    <t>Far Offshore</t>
  </si>
  <si>
    <t>On-site working</t>
  </si>
  <si>
    <t>Job Title</t>
  </si>
  <si>
    <t>Number of Personnel</t>
  </si>
  <si>
    <t>Labor Information</t>
  </si>
  <si>
    <t>Inputs</t>
  </si>
  <si>
    <t>Outputs</t>
  </si>
  <si>
    <t>Fuel Cost ($/hr)</t>
  </si>
  <si>
    <t>Notes</t>
  </si>
  <si>
    <t>Labor Cost ($)</t>
  </si>
  <si>
    <t>Vessel Rental Rate ($/hr)</t>
  </si>
  <si>
    <t>Vessel Cost ($)</t>
  </si>
  <si>
    <t>Operation Subotal Cost ($)</t>
  </si>
  <si>
    <t>Stage Location</t>
  </si>
  <si>
    <t>Location Coordinates</t>
  </si>
  <si>
    <t>Vessel Used</t>
  </si>
  <si>
    <t>AUV Installation</t>
  </si>
  <si>
    <t>Remote Monitoring Installation</t>
  </si>
  <si>
    <t>anchors</t>
  </si>
  <si>
    <t>Input</t>
  </si>
  <si>
    <t>Unit</t>
  </si>
  <si>
    <t>Other Inputs</t>
  </si>
  <si>
    <t>Transit from Port 1 to Nearshore</t>
  </si>
  <si>
    <t>Vessel mobilization from Stage 1 to Port 1</t>
  </si>
  <si>
    <t>Vessel demobilization from Port 1 to Stage 1</t>
  </si>
  <si>
    <t>Transit from Nearshore to Port 1</t>
  </si>
  <si>
    <t>Mob/demob</t>
  </si>
  <si>
    <t>Nearshore Calculations</t>
  </si>
  <si>
    <t>AUV Installation Total</t>
  </si>
  <si>
    <t>Install AUV (onsite)</t>
  </si>
  <si>
    <t>Install remote monitoring station (onsite)</t>
  </si>
  <si>
    <t>Calculations</t>
  </si>
  <si>
    <t>High Latitude Calculations</t>
  </si>
  <si>
    <t>keep as decimal</t>
  </si>
  <si>
    <t>Vessel mobilization from Stage 2 to Port 2</t>
  </si>
  <si>
    <t>Transit from Port 2 to Offshore</t>
  </si>
  <si>
    <t>Transit from Offshore to Port 2</t>
  </si>
  <si>
    <t>Vessel demobilization from Port 2 to Stage 2</t>
  </si>
  <si>
    <t>Transit from Port 3 to High Latitude</t>
  </si>
  <si>
    <t>Transit from High Latitude to Port 3</t>
  </si>
  <si>
    <t>Vessel mobilization from Stage 3 to Port 3</t>
  </si>
  <si>
    <t>Vessel demobilization from Port 3 to Stage 3</t>
  </si>
  <si>
    <t>Scenario</t>
  </si>
  <si>
    <t>MADWEC + AUV</t>
  </si>
  <si>
    <t>MADWEC + Remote Monitoring</t>
  </si>
  <si>
    <t>Far Offshore Calculations</t>
  </si>
  <si>
    <t>Frequency of maintenance occurance (per year)</t>
  </si>
  <si>
    <t>On-site working/removing device</t>
  </si>
  <si>
    <t>Off-site working on device</t>
  </si>
  <si>
    <t>On-site working/replacing device</t>
  </si>
  <si>
    <t>Transit from High Latitude  to Port 3</t>
  </si>
  <si>
    <t>Remote Monitoring Total</t>
  </si>
  <si>
    <t>MADWEC</t>
  </si>
  <si>
    <t>MADWEC Installation</t>
  </si>
  <si>
    <t>Vessel Rental Rate ($/day)</t>
  </si>
  <si>
    <t>Vessel 1</t>
  </si>
  <si>
    <t>hours</t>
  </si>
  <si>
    <t># of hours</t>
  </si>
  <si>
    <t>Install/O&amp;M Vessel (Vessel 1 - Location 1)</t>
  </si>
  <si>
    <t>Install/O&amp;M Vessel (Vesssel 2 - Location 2)</t>
  </si>
  <si>
    <t>Install/O&amp;M Vessel (Vesssel 3 - Location 3)</t>
  </si>
  <si>
    <t>Hourly Rate ($)</t>
  </si>
  <si>
    <t>New Bedford Harbor</t>
  </si>
  <si>
    <t>Link</t>
  </si>
  <si>
    <t>decimal</t>
  </si>
  <si>
    <t>WHOI</t>
  </si>
  <si>
    <t>Max lift (lbs)</t>
  </si>
  <si>
    <t>Woods Hole, MA</t>
  </si>
  <si>
    <t>Wood's Hole, MA</t>
  </si>
  <si>
    <t>Woods Hole Oceanographic Institution</t>
  </si>
  <si>
    <t>41.5242° N, 70.6712° W</t>
  </si>
  <si>
    <t>41.2354° N, 71.0237° W</t>
  </si>
  <si>
    <t>41.6362° N, 70.9342° W</t>
  </si>
  <si>
    <t>Cruising Boat Speed (knots)</t>
  </si>
  <si>
    <t>40.9334° N, 70.7985° W</t>
  </si>
  <si>
    <t>Vessel mobilization from Stage  1 to Port 1</t>
  </si>
  <si>
    <t>Time for testing standby</t>
  </si>
  <si>
    <t>Time to install AUV</t>
  </si>
  <si>
    <t>Time to install remote monitoring station</t>
  </si>
  <si>
    <t>Time to install buoy (MADWEC)</t>
  </si>
  <si>
    <t>Time to install PTO (MADWEC)</t>
  </si>
  <si>
    <t>Time to install ballasts (MADWEC)</t>
  </si>
  <si>
    <t>Time to install cable system (MADWEC)</t>
  </si>
  <si>
    <t>Time to install anchor and moorings (MADWEC)</t>
  </si>
  <si>
    <t>Installation</t>
  </si>
  <si>
    <t>Load remote monitoring onto vessel</t>
  </si>
  <si>
    <t>Load AUV onto vessel</t>
  </si>
  <si>
    <t>Load MADWEC onto vessel</t>
  </si>
  <si>
    <t>Prep installation</t>
  </si>
  <si>
    <t>Time to prep installation (on-site)</t>
  </si>
  <si>
    <t>Install buoy</t>
  </si>
  <si>
    <t>Install PTO</t>
  </si>
  <si>
    <t>Install ballasts</t>
  </si>
  <si>
    <t>Install anchor and moorings</t>
  </si>
  <si>
    <t>Install cable system</t>
  </si>
  <si>
    <t>Vessel 2</t>
  </si>
  <si>
    <t>Vessel 3</t>
  </si>
  <si>
    <t>One Time Costs</t>
  </si>
  <si>
    <t>MADWEC Installation Total</t>
  </si>
  <si>
    <t>Vessel mobilization from Stage  2 to Port 2</t>
  </si>
  <si>
    <t>Vessel mobilization from Stage  3 to Port 3</t>
  </si>
  <si>
    <t>Time for additional installation 1</t>
  </si>
  <si>
    <t>Additional Install 1 Total</t>
  </si>
  <si>
    <t>Time to load MADWEC/AUV/monitor on vessel</t>
  </si>
  <si>
    <t>Homer, AK</t>
  </si>
  <si>
    <t>City of Homer Port</t>
  </si>
  <si>
    <t>USFWS</t>
  </si>
  <si>
    <t>59.0605° N, 152.0117° W</t>
  </si>
  <si>
    <t>59.6371° N, 151.4522° W</t>
  </si>
  <si>
    <t>Vessel 2 (Location 2)</t>
  </si>
  <si>
    <t>Vessel 1 (Location 2)</t>
  </si>
  <si>
    <t>Vessel 3 (Location 3)</t>
  </si>
  <si>
    <t>Engineer (North East)</t>
  </si>
  <si>
    <t>Technician (North East)</t>
  </si>
  <si>
    <t>Vessel Captain (North East)</t>
  </si>
  <si>
    <t>Vessel Crew (North East)</t>
  </si>
  <si>
    <t>Engineer (Alaska)</t>
  </si>
  <si>
    <t>Technician (Alaska)</t>
  </si>
  <si>
    <t>Vessel Captain (Alaska)</t>
  </si>
  <si>
    <t>Vessel Crew (Alaska)</t>
  </si>
  <si>
    <t>Solar Buoy Installation</t>
  </si>
  <si>
    <t>Item</t>
  </si>
  <si>
    <t>Cost ($)</t>
  </si>
  <si>
    <t>Offshore Maintenance</t>
  </si>
  <si>
    <t xml:space="preserve">Onshore Maintenance </t>
  </si>
  <si>
    <t>Time for on-site  maintenance (offshore)</t>
  </si>
  <si>
    <t>Time for  device removal (onshore)</t>
  </si>
  <si>
    <t>Time for off-site maintenance (onshore)</t>
  </si>
  <si>
    <t>Time for  device replacement (onshore)</t>
  </si>
  <si>
    <t>Time for testing standby (offshore/onshore)</t>
  </si>
  <si>
    <t>Onshore (MADWEC)</t>
  </si>
  <si>
    <t>Offshore (MADWEC)</t>
  </si>
  <si>
    <t>Offshore (AUV)</t>
  </si>
  <si>
    <t>Onshore (AUV)</t>
  </si>
  <si>
    <t>Offshore (Remote Monitoring)</t>
  </si>
  <si>
    <t>Onshore (Remote Monitoring)</t>
  </si>
  <si>
    <t>*assumes overlap between occurances</t>
  </si>
  <si>
    <t>Transit from Port 2 to Nearshore</t>
  </si>
  <si>
    <t>Transit from Nearshore to Port 2</t>
  </si>
  <si>
    <t>Single  Offshore Maintenance Cost</t>
  </si>
  <si>
    <t>Single  Onshore Maintenance Cost</t>
  </si>
  <si>
    <t>Solar Buoy + AUV</t>
  </si>
  <si>
    <t>Solar Buoy + Remote Monitoring</t>
  </si>
  <si>
    <t>Additional Installation (Optional, add to sum if usedl)</t>
  </si>
  <si>
    <t>Time to load solar buoy on vessel</t>
  </si>
  <si>
    <t xml:space="preserve">Time to install solar buoy </t>
  </si>
  <si>
    <t>Time to prep solar buoy installation (on-site)</t>
  </si>
  <si>
    <t>Solar Buoy Installation Total</t>
  </si>
  <si>
    <t>Solar Buoy</t>
  </si>
  <si>
    <t>Time to load battery system on vessel</t>
  </si>
  <si>
    <t>Time to prep battery installation (on-site)</t>
  </si>
  <si>
    <t>Time to install battery system</t>
  </si>
  <si>
    <t>Battery System Installation</t>
  </si>
  <si>
    <t>Load battery onto vessel</t>
  </si>
  <si>
    <t>Battery System Installation Total</t>
  </si>
  <si>
    <t>Offshore (Solar Buoy)</t>
  </si>
  <si>
    <t>Onshore (Solar Buoy)</t>
  </si>
  <si>
    <t>Load solar buoy onto vessel</t>
  </si>
  <si>
    <t>Offshore (Battery)</t>
  </si>
  <si>
    <t>Onshore (Battery)</t>
  </si>
  <si>
    <t>Battery System</t>
  </si>
  <si>
    <t>Battery + AUV</t>
  </si>
  <si>
    <t>Battery + Remote Monitoring</t>
  </si>
  <si>
    <t xml:space="preserve"> </t>
  </si>
  <si>
    <t>Additional Installation (Optional, add to sum if used)</t>
  </si>
  <si>
    <t>AUV</t>
  </si>
  <si>
    <t>Sensor Cost</t>
  </si>
  <si>
    <t>No. of Sensors</t>
  </si>
  <si>
    <t>Total Cost</t>
  </si>
  <si>
    <t>Sensor</t>
  </si>
  <si>
    <t>ADCP</t>
  </si>
  <si>
    <t>Anemometer</t>
  </si>
  <si>
    <t>Camera</t>
  </si>
  <si>
    <t>CTD</t>
  </si>
  <si>
    <t>Data logger &amp; communications</t>
  </si>
  <si>
    <t>Catalytic H2 sensor</t>
  </si>
  <si>
    <t>Fluorometer</t>
  </si>
  <si>
    <t>Optical sensor</t>
  </si>
  <si>
    <t>Optode</t>
  </si>
  <si>
    <t>pCO2</t>
  </si>
  <si>
    <t>pH Sensor</t>
  </si>
  <si>
    <t>Meterological probe</t>
  </si>
  <si>
    <t>Motion sensor</t>
  </si>
  <si>
    <t>AUV Cost</t>
  </si>
  <si>
    <t>No. of AUVs</t>
  </si>
  <si>
    <t>AUV CapEx  Total</t>
  </si>
  <si>
    <t>Monitoring Sensors CapEx Total</t>
  </si>
  <si>
    <t>Solar Buoy CapEx</t>
  </si>
  <si>
    <t>AUV CapEx</t>
  </si>
  <si>
    <t>Time to install monitoring station</t>
  </si>
  <si>
    <t>Monitoring Station Installation</t>
  </si>
  <si>
    <t>Monitoring Station  CapEx</t>
  </si>
  <si>
    <t>Cost</t>
  </si>
  <si>
    <t>Category</t>
  </si>
  <si>
    <t>1. Capital Expenditures (CapEx)</t>
  </si>
  <si>
    <t>1.1.1.2. Additional Structural Components</t>
  </si>
  <si>
    <t>1.1. Marine Energy Converter (MEC)</t>
  </si>
  <si>
    <t>1.1.1.1. Prime Mover</t>
  </si>
  <si>
    <t xml:space="preserve">1.1.1.3. Marine Systems </t>
  </si>
  <si>
    <t>1.1.1.1.1. Primary Structural Assembly</t>
  </si>
  <si>
    <t>1.1.1.1.2. Buoyancy Chambers</t>
  </si>
  <si>
    <t>1.1.1.1.3. External Ballast Chambers</t>
  </si>
  <si>
    <t>1.1.1.1.4. Active Structure</t>
  </si>
  <si>
    <t>1.1.1.1.4.1. Drive Mechanisms</t>
  </si>
  <si>
    <t>1.1.1.1.4.2. Hydrodynamic Bodies</t>
  </si>
  <si>
    <t>1.1.1.3.1. Personnel Access System (Device Access)</t>
  </si>
  <si>
    <t>1.1.1.3.2. Ballast System</t>
  </si>
  <si>
    <t>1.1.1.3.3. Navigation Lighting</t>
  </si>
  <si>
    <t>1.1.1.4. Coatings</t>
  </si>
  <si>
    <t>1.1.1.5. Transportation of Structure</t>
  </si>
  <si>
    <t>1.1.1. Structural Assembly</t>
  </si>
  <si>
    <t xml:space="preserve">1.1.2.1. Hydraulic Drivetrain </t>
  </si>
  <si>
    <t>1.1.2. Power Take-Off System (PTO)</t>
  </si>
  <si>
    <t>1.1.2.1.1. Primary Hydraulic Pump</t>
  </si>
  <si>
    <t>1.1.2.1.2. Rectifying Circuit</t>
  </si>
  <si>
    <t>1.1.2.1.2.1. Valves</t>
  </si>
  <si>
    <t>1.1.2.1.2.2. Manifold</t>
  </si>
  <si>
    <t>1.1.2.1.2.3. Plumbing</t>
  </si>
  <si>
    <t>1.1.2.1.3. Accumulators</t>
  </si>
  <si>
    <t>1.1.2.1.3.1. High Pressure Accumulators</t>
  </si>
  <si>
    <t>1.1.2.1.3.2. Low Pressure Accumulators</t>
  </si>
  <si>
    <t>1.1.2.1.4. Hydraulic Motor</t>
  </si>
  <si>
    <t>1.1.2.1.5. Valves</t>
  </si>
  <si>
    <t>1.1.2.1.6. Hydraulic Reservoir</t>
  </si>
  <si>
    <t>1.1.2.1.7. Hydraulic Fluid</t>
  </si>
  <si>
    <t xml:space="preserve">1.1.2.1.8. Plumbing, fittings, etc. </t>
  </si>
  <si>
    <t>1.1.2.2. Gearbox or Speed Increaser/Reducer</t>
  </si>
  <si>
    <t>1.1.2.2.1. Gears</t>
  </si>
  <si>
    <t>1.1.2.2.2. Bearings</t>
  </si>
  <si>
    <t>1.1.2.2.3. Housing</t>
  </si>
  <si>
    <t>1.1.2.2.4. Sensors</t>
  </si>
  <si>
    <t>1.1.2.2.5. Lube System</t>
  </si>
  <si>
    <t>1.1.2.2.6. Cooling System</t>
  </si>
  <si>
    <t>1.1.2.3. Air Turbine</t>
  </si>
  <si>
    <t>1.1.2.3.1. Blades or Rotor Assembly</t>
  </si>
  <si>
    <t>1.1.2.3.2. Hub Assembly</t>
  </si>
  <si>
    <t>1.1.2.3.3. Shaft Assembly</t>
  </si>
  <si>
    <t>1.1.2.3.4. Bearings</t>
  </si>
  <si>
    <t>1.1.2.4. Electrical Generator</t>
  </si>
  <si>
    <t>1.1.2.4.1. Cooling System</t>
  </si>
  <si>
    <t>1.1.2.4.2. Lubrication System</t>
  </si>
  <si>
    <t>1.1.2.4.3. Rotor</t>
  </si>
  <si>
    <t>1.1.2.4.4. Sensors</t>
  </si>
  <si>
    <t>1.1.2.4.5. Stator</t>
  </si>
  <si>
    <t xml:space="preserve">1.1.2.4.6. Structural &amp; Mechanical </t>
  </si>
  <si>
    <t>1.1.2.5. Short-Term Energy Storage</t>
  </si>
  <si>
    <t>1.1.2.6. Power Electronics</t>
  </si>
  <si>
    <t>1.1.2.6.1. Frequency Converter</t>
  </si>
  <si>
    <t xml:space="preserve">1.1.2.6.1.1. Converter Auxiliaries </t>
  </si>
  <si>
    <t>1.1.2.6.1.2. Converter Power Bus</t>
  </si>
  <si>
    <t xml:space="preserve">1.1.2.6.1.3. Power Conditioning </t>
  </si>
  <si>
    <t>1.1.2.6.2. Power Electrical System</t>
  </si>
  <si>
    <t>1.1.2.6.2.1. Power Circuit</t>
  </si>
  <si>
    <t>1.1.2.6.2.2. Main Transformer</t>
  </si>
  <si>
    <t>1.1.2.6.2.3. Measurements</t>
  </si>
  <si>
    <t>1.1.2.6.2.4. Switchgear</t>
  </si>
  <si>
    <t>1.1.2.6.3. Control &amp; Communication System (SCADA)</t>
  </si>
  <si>
    <t>1.1.2.6.3.1. Marine Energy Converter (MEC) Controller</t>
  </si>
  <si>
    <t xml:space="preserve">1.1.2.6.3.2. Communication System  </t>
  </si>
  <si>
    <t>1.1.2.6.3.3. Condition Monitoring System (CMS)</t>
  </si>
  <si>
    <t>1.1.2.6.3.4. Ancillary Equipment</t>
  </si>
  <si>
    <t>1.1.2.6.3.5. Marine Energy Converter (MEC) Plant Control Equipment</t>
  </si>
  <si>
    <t>1.1.2.7. Power Take-Off Enclosure</t>
  </si>
  <si>
    <t>1.1.2.8. Coatings</t>
  </si>
  <si>
    <t>1.1.2.9. Transportation of Power Conversion Chain</t>
  </si>
  <si>
    <t xml:space="preserve">1.1.3. Mooring, Foundation, and Sub-Structure </t>
  </si>
  <si>
    <t>1.1.3.1. Mooring Lines</t>
  </si>
  <si>
    <t>1.1.3.2. Anchors and Piles</t>
  </si>
  <si>
    <t>1.1.3.3. Connecting Hardware</t>
  </si>
  <si>
    <t xml:space="preserve">1.1.3.4. Sub-Foundation or Bedding </t>
  </si>
  <si>
    <t>1.1.3.5. Messenger Lines &amp; Buoys</t>
  </si>
  <si>
    <t>1.1.3.6. Scour Protection</t>
  </si>
  <si>
    <t>1.1.3.7. Outfitting structure (steel or other)</t>
  </si>
  <si>
    <t xml:space="preserve">1.1.3.7.1. Vessel Landing </t>
  </si>
  <si>
    <t>1.1.3.7.2. Service Platforms and Decks</t>
  </si>
  <si>
    <t>1.1.3.7.3. Ladders</t>
  </si>
  <si>
    <t>1.1.3.7.4. Railings</t>
  </si>
  <si>
    <t>1.1.3.7.5. Marine Coatings</t>
  </si>
  <si>
    <t>1.1.3.8. Ancillary Marine Systems</t>
  </si>
  <si>
    <t>1.1.3.8.1. Cathodic Protection System</t>
  </si>
  <si>
    <t>1.1.3.8.2. Personnel Access System</t>
  </si>
  <si>
    <t>1.1.3.8.3. Ballast System</t>
  </si>
  <si>
    <t xml:space="preserve">1.1.3.8.4. Condition Monitoring </t>
  </si>
  <si>
    <t>1.1.3.9. Integration, Assembly, Testing, and Checkout</t>
  </si>
  <si>
    <t>1.1.3.10. Transportation</t>
  </si>
  <si>
    <t>1.2. Balance of System (BOS)</t>
  </si>
  <si>
    <t>1.2.1. Development</t>
  </si>
  <si>
    <t>1.2.1.1. Site Selection (Siting and scoping)</t>
  </si>
  <si>
    <t>1.2.1.1.1. Resource Assessment</t>
  </si>
  <si>
    <t>1.2.1.1.2. Environmental Scoping</t>
  </si>
  <si>
    <t>1.2.1.1.3. Pre-FEED</t>
  </si>
  <si>
    <t>1.2.1.2. Permitting &amp; Leasing</t>
  </si>
  <si>
    <t xml:space="preserve">1.2.1.2.1. Permit Acquisition Activities </t>
  </si>
  <si>
    <t>1.2.1.2.2. Lease Acquisition Activities</t>
  </si>
  <si>
    <t>1.2.1.3. Professional Advisory Services</t>
  </si>
  <si>
    <t>1.2.1.4. Initial Engineering</t>
  </si>
  <si>
    <t>1.2.1.4.1. FEED</t>
  </si>
  <si>
    <t>1.2.1.4.2. Engineering Certification</t>
  </si>
  <si>
    <t>1.2.1.5. Site Characterization</t>
  </si>
  <si>
    <t>1.2.1.5.1. Environmental Surveys</t>
  </si>
  <si>
    <t>1.2.1.5.2. Resource and Metocean Assessment</t>
  </si>
  <si>
    <t xml:space="preserve">1.2.1.5.2.1. Resource Monitoring Stations </t>
  </si>
  <si>
    <t>1.2.1.5.2.2. Data Collection and Analysis</t>
  </si>
  <si>
    <t>1.2.1.5.3. Geological and Bathymetry Survey</t>
  </si>
  <si>
    <t>1.2.1.6. Interconnection &amp; Power Marketing</t>
  </si>
  <si>
    <t>1.2.1.6.1. Interconnection Studies &amp; Fees</t>
  </si>
  <si>
    <t>1.2.1.6.2. Onshore Interconnection Rights (Transmission Rights of way)</t>
  </si>
  <si>
    <t xml:space="preserve">1.2.1.6.3. Power Marketing </t>
  </si>
  <si>
    <t>1.2.1.7. Project Management During Development</t>
  </si>
  <si>
    <t>1.2.1.7.1. Procurement</t>
  </si>
  <si>
    <t>1.2.1.7.2. Salaries</t>
  </si>
  <si>
    <t>1.2.1.7.3. Sales, General, &amp; Administrative</t>
  </si>
  <si>
    <t>1.2.1.7.4. Stakeholder Outreach</t>
  </si>
  <si>
    <t>1.2.1.7.5. Profit</t>
  </si>
  <si>
    <t>1.2.1.8. Financing and Incentives</t>
  </si>
  <si>
    <t xml:space="preserve">1.2.1.8.1. Due Diligence </t>
  </si>
  <si>
    <t>1.2.1.8.2. Incentives</t>
  </si>
  <si>
    <t>1.2.1.8.3. Closing Costs</t>
  </si>
  <si>
    <t>1.2.1.8.4. Legal Support</t>
  </si>
  <si>
    <t>1.2.2. Engineering and Management</t>
  </si>
  <si>
    <t>1.2.2.1. Detailed Design and Construction Engineering</t>
  </si>
  <si>
    <t>1.2.2.2. Procurement Management</t>
  </si>
  <si>
    <t>1.2.2.3. Construction Management</t>
  </si>
  <si>
    <t>1.2.2.3.1. Salaries</t>
  </si>
  <si>
    <t>1.2.2.3.2. Sales, General, &amp; Administrative</t>
  </si>
  <si>
    <t xml:space="preserve">1.2.2.3.3. Profit </t>
  </si>
  <si>
    <t>1.2.2.4. Project Certification</t>
  </si>
  <si>
    <t>1.2.2.5. Health, Safety, &amp; Environmental Monitoring</t>
  </si>
  <si>
    <t>1.2.2.5.1. Health and Safety Monitoring</t>
  </si>
  <si>
    <t>1.2.2.5.2. Environmental Monitoring</t>
  </si>
  <si>
    <t>1.2.3. Electrical Infrastructure</t>
  </si>
  <si>
    <t>1.2.3.1. Array Cable System</t>
  </si>
  <si>
    <t>1.2.3.1.1. Array Cables</t>
  </si>
  <si>
    <t>1.2.3.1.1.1. Riser cable</t>
  </si>
  <si>
    <t>1.2.3.1.1.2. Collector Cable</t>
  </si>
  <si>
    <t>1.2.3.1.2. Cable Accessories &amp; Jointing</t>
  </si>
  <si>
    <t>1.2.3.1.2.1. Termination Kit</t>
  </si>
  <si>
    <t>1.2.3.1.2.2. Connectors</t>
  </si>
  <si>
    <t>1.2.3.1.2.3. Buoyancy Modules</t>
  </si>
  <si>
    <t>1.2.3.1.2.4. Anchorage</t>
  </si>
  <si>
    <t>1.2.3.1.2.5. Messenger Lines &amp; Buoys</t>
  </si>
  <si>
    <t>1.2.3.1.3. Array Cable System Commissioning</t>
  </si>
  <si>
    <t>1.2.3.1.4. Array Cable System Transportation</t>
  </si>
  <si>
    <t>1.2.3.2. Export Cable Systems</t>
  </si>
  <si>
    <t>1.2.3.2.1. Export Cables</t>
  </si>
  <si>
    <t>1.2.3.2.2. Cable Accessories &amp; Jointing</t>
  </si>
  <si>
    <t>1.2.3.2.2.1. Termination Kit</t>
  </si>
  <si>
    <t>1.2.3.2.2.2. Connectors</t>
  </si>
  <si>
    <t>1.2.3.2.2.3. Buoyancy Modules</t>
  </si>
  <si>
    <t>1.2.3.2.2.4. Anchorage</t>
  </si>
  <si>
    <t>1.2.3.2.2.5. Messenger Lines &amp; Buoys</t>
  </si>
  <si>
    <t>1.2.3.2.3. Export Cable Commissioning</t>
  </si>
  <si>
    <t>1.2.3.2.4. Export Cable System Transportation</t>
  </si>
  <si>
    <t>1.2.3.3. Cable Protection</t>
  </si>
  <si>
    <t xml:space="preserve">1.2.3.3.1. Scour Protection  </t>
  </si>
  <si>
    <t>1.2.3.3.2. Cable Mattresses</t>
  </si>
  <si>
    <t>1.2.3.3.3. Ducting System</t>
  </si>
  <si>
    <t xml:space="preserve">1.2.3.3.4. Bend Restrictors </t>
  </si>
  <si>
    <t>1.2.3.3.5. Bend Stiffeners</t>
  </si>
  <si>
    <t>1.2.3.3.6. J-tube Seals</t>
  </si>
  <si>
    <t xml:space="preserve">1.2.3.4. Offshore Substation(s) </t>
  </si>
  <si>
    <t xml:space="preserve">1.2.3.4.1. Topside </t>
  </si>
  <si>
    <t>1.2.3.4.1.1. Structure</t>
  </si>
  <si>
    <t>1.2.3.4.1.2. Helicopter Deck</t>
  </si>
  <si>
    <t>1.2.3.4.1.3. Accommodations</t>
  </si>
  <si>
    <t>1.2.3.4.1.4. Outfitting Steel</t>
  </si>
  <si>
    <t xml:space="preserve">1.2.3.4.1.5. Topside Marine Systems </t>
  </si>
  <si>
    <t>1.2.3.4.1.6. Substation Topside Integration, Assembly, Test, and Checkout</t>
  </si>
  <si>
    <t>1.2.3.4.1.7. Transportation</t>
  </si>
  <si>
    <t>1.2.3.4.2. Substructure &amp; Foundation</t>
  </si>
  <si>
    <t>1.2.3.4.2.1. Foundation</t>
  </si>
  <si>
    <t xml:space="preserve">1.2.3.4.2.2. Substructure </t>
  </si>
  <si>
    <t>1.2.3.4.2.3. Substructure Marine Systems</t>
  </si>
  <si>
    <t>1.2.3.4.2.4. Scour Protection</t>
  </si>
  <si>
    <t>1.2.3.4.2.5. Substation Substructure &amp; Foundation Integration, Assembly, Testing, and Checkout</t>
  </si>
  <si>
    <t>1.2.3.4.2.6. Transportation</t>
  </si>
  <si>
    <t>1.2.3.4.3. Electrical Conversion Equipment</t>
  </si>
  <si>
    <t>1.2.3.4.3.1. AC Transformers</t>
  </si>
  <si>
    <t xml:space="preserve">1.2.3.4.3.2. High Voltage Switchgear </t>
  </si>
  <si>
    <t xml:space="preserve">1.2.3.4.3.3. Medium Voltage Switchgear </t>
  </si>
  <si>
    <t>1.2.3.4.3.4. Passive and Active Power Compensation</t>
  </si>
  <si>
    <t>1.2.3.4.3.5. Shunt Reactors</t>
  </si>
  <si>
    <t>1.2.3.4.3.6. DC Convertor</t>
  </si>
  <si>
    <t>1.2.3.4.3.7. Filtering System</t>
  </si>
  <si>
    <t>1.2.3.4.3.8. Earthing Systems</t>
  </si>
  <si>
    <t>1.2.3.4.3.9. Substation Electrical Conversion Equipment Integration, Assembly, Testing, and Checkout</t>
  </si>
  <si>
    <t>1.2.3.4.3.10. Transportation</t>
  </si>
  <si>
    <t>1.2.3.4.4. Facilities and Ancillary Systems</t>
  </si>
  <si>
    <t>1.2.3.4.4.1. Standby Generator</t>
  </si>
  <si>
    <t>1.2.3.4.4.2. Fire Protection Systems</t>
  </si>
  <si>
    <t>1.2.3.4.4.3. Clean and Black Water Systems</t>
  </si>
  <si>
    <t>1.2.3.4.4.4. Fuel Tanks</t>
  </si>
  <si>
    <t xml:space="preserve">1.2.3.4.4.5. Control &amp; Communication System </t>
  </si>
  <si>
    <t>1.2.3.4.4.6. Safety and Security Systems</t>
  </si>
  <si>
    <t>1.2.3.4.4.7. Crane</t>
  </si>
  <si>
    <t>1.2.3.4.4.8. Control Room &amp; Refuge</t>
  </si>
  <si>
    <t>1.2.3.4.4.9. Heating, Ventilation, and Air Conditioning Equipment</t>
  </si>
  <si>
    <t>1.2.3.4.4.10. Industrial Waterproof Enclosures</t>
  </si>
  <si>
    <t>1.2.3.4.4.11. Transportation</t>
  </si>
  <si>
    <t>1.2.3.5. Onshore Substation</t>
  </si>
  <si>
    <t>1.2.3.5.1. Land Leases</t>
  </si>
  <si>
    <t>1.2.3.5.2. Underground Cable System</t>
  </si>
  <si>
    <t>1.2.3.5.2.1. Underground Cables</t>
  </si>
  <si>
    <t>1.2.3.5.2.2. Ancillary Equipment</t>
  </si>
  <si>
    <t>1.2.3.5.3. Foundation</t>
  </si>
  <si>
    <t>1.2.3.5.4. Electrical Equipment</t>
  </si>
  <si>
    <t>1.2.3.5.4.1. Circuit Breakers</t>
  </si>
  <si>
    <t>1.2.3.5.4.2. Disconnect Switches</t>
  </si>
  <si>
    <t>1.2.3.5.4.3. Transformers</t>
  </si>
  <si>
    <t>1.2.3.5.4.4. Bus Support, Bus, and Fittings</t>
  </si>
  <si>
    <t>1.2.3.5.4.5. Insulator</t>
  </si>
  <si>
    <t>1.2.3.5.4.6. Reactive Components</t>
  </si>
  <si>
    <t>1.2.3.5.4.7. Lighting Arrester</t>
  </si>
  <si>
    <t>1.2.3.5.5. Protection &amp; Control</t>
  </si>
  <si>
    <t>1.2.3.5.5.1. Control Enclosure</t>
  </si>
  <si>
    <t>1.2.3.5.5.2. Relay Panels</t>
  </si>
  <si>
    <t>1.2.3.5.5.3. Conduit</t>
  </si>
  <si>
    <t>1.2.3.5.5.4. Control Cable</t>
  </si>
  <si>
    <t>1.2.3.5.6. Buildings/Facilities</t>
  </si>
  <si>
    <t xml:space="preserve">1.2.3.5.7. Civil Infrastructure </t>
  </si>
  <si>
    <t>1.2.3.6. Onshore Transmission Infrastructure</t>
  </si>
  <si>
    <t>1.2.3.6.1. Land Leases</t>
  </si>
  <si>
    <t>1.2.3.6.2. Structure &amp; Foundations</t>
  </si>
  <si>
    <t>1.2.3.6.3. Transmission Towers</t>
  </si>
  <si>
    <t>1.2.3.6.4. Overhead Lines</t>
  </si>
  <si>
    <t>1.2.3.6.4.1. Conductors</t>
  </si>
  <si>
    <t>1.2.3.6.4.2. Communications</t>
  </si>
  <si>
    <t>1.2.3.6.4.3. Shield Wire</t>
  </si>
  <si>
    <t>1.2.3.6.5. Transportation</t>
  </si>
  <si>
    <t>1.2.4. Plant Commissioning</t>
  </si>
  <si>
    <t>1.2.5. Site Access, Port &amp; Staging</t>
  </si>
  <si>
    <t>1.2.5.1. Staging Port</t>
  </si>
  <si>
    <t>1.2.5.1.1. Quay</t>
  </si>
  <si>
    <t>1.2.5.1.2. Laydown Area</t>
  </si>
  <si>
    <t>1.2.5.1.3. Assembly Areas</t>
  </si>
  <si>
    <t>1.2.5.1.4. Personnel Facilities</t>
  </si>
  <si>
    <t>1.2.5.1.5. Fabrication Facilities</t>
  </si>
  <si>
    <t>1.2.5.2. Cranage</t>
  </si>
  <si>
    <t>1.2.5.3. Port Improvements</t>
  </si>
  <si>
    <t xml:space="preserve">1.2.5.4. Port Fees </t>
  </si>
  <si>
    <t>1.2.5.4.1. Entrance/Exit Fees</t>
  </si>
  <si>
    <t>1.2.5.4.2. Quayside Docking Fees</t>
  </si>
  <si>
    <t>1.2.5.4.3. Wharfage Fees</t>
  </si>
  <si>
    <t>1.2.6. Assembly &amp; Installation</t>
  </si>
  <si>
    <t>1.2.6.1. Substructures &amp; Foundations</t>
  </si>
  <si>
    <t>1.2.6.1.1. Foundation</t>
  </si>
  <si>
    <t xml:space="preserve">1.2.6.1.2. Substructure </t>
  </si>
  <si>
    <t>1.2.6.1.4. Noise Mitigation</t>
  </si>
  <si>
    <t xml:space="preserve">1.2.6.1.3. Scour Protection  </t>
  </si>
  <si>
    <t>1.2.6.2. Marine Energy Converter Device</t>
  </si>
  <si>
    <t>1.2.6.2.1. Structural Assembly</t>
  </si>
  <si>
    <t>1.2.6.2.2. Power Take-Off System (PTO)</t>
  </si>
  <si>
    <t>1.2.6.3. Offshore Electrical Infrastructure</t>
  </si>
  <si>
    <t>1.2.6.3.1. Array Cables</t>
  </si>
  <si>
    <t>1.2.6.3.1.1. Cable Laying</t>
  </si>
  <si>
    <t xml:space="preserve">1.2.6.3.1.2. Cable Trenching </t>
  </si>
  <si>
    <t>1.2.6.3.1.3. Protection</t>
  </si>
  <si>
    <t>1.2.6.3.1.4. Terminations</t>
  </si>
  <si>
    <t>1.2.6.3.2. Offshore Export Cables</t>
  </si>
  <si>
    <t>1.2.6.3.2.1. Cable Laying</t>
  </si>
  <si>
    <t xml:space="preserve">1.2.6.3.2.2. Cable Trenching </t>
  </si>
  <si>
    <t>1.2.6.3.2.3. Protection</t>
  </si>
  <si>
    <t>1.2.6.3.2.4. Terminations</t>
  </si>
  <si>
    <t>1.2.6.3.2.5. Landfall Operations</t>
  </si>
  <si>
    <t xml:space="preserve">1.2.6.3.3. Offshore Substation(s) </t>
  </si>
  <si>
    <t>1.2.6.3.3.1. Substructure</t>
  </si>
  <si>
    <t>1.2.6.3.3.2. Topside</t>
  </si>
  <si>
    <t>1.2.6.3.4. Offshore Accommodations Platform(s)</t>
  </si>
  <si>
    <t>1.2.6.3.4.1. Substructure</t>
  </si>
  <si>
    <t>1.2.6.3.4.2. Topside</t>
  </si>
  <si>
    <t xml:space="preserve">1.2.6.4. Onshore Electrical Infrastructure </t>
  </si>
  <si>
    <t>1.2.6.4.1. Underground Cable System</t>
  </si>
  <si>
    <t>1.2.6.4.2. Overhead Transmission Lines</t>
  </si>
  <si>
    <t>1.2.6.4.3. Onshore Substation</t>
  </si>
  <si>
    <t>1.2.6.5. Offshore Logistical Infrastructure</t>
  </si>
  <si>
    <t>1.2.7. Other Infrastructure</t>
  </si>
  <si>
    <t>1.2.7.1. Offshore Accommodations</t>
  </si>
  <si>
    <t>1.2.7.2. Dedicated O&amp;M Vessel(s)</t>
  </si>
  <si>
    <t xml:space="preserve">1.2.7.3. Onshore O&amp;M Facilities </t>
  </si>
  <si>
    <t>1.2.7.4. O&amp;M Equipment Purchases</t>
  </si>
  <si>
    <t>1.2.7.5. Offshore Logistical Infrastructure</t>
  </si>
  <si>
    <t>1.2.7.6. Other Infrastructure Transportation</t>
  </si>
  <si>
    <t xml:space="preserve">1.3. Financial Costs </t>
  </si>
  <si>
    <t>1.3.1. Project Contingency Budget</t>
  </si>
  <si>
    <t>1.3.2. Insurance During Construction</t>
  </si>
  <si>
    <t>1.3.3. Carrying Costs During Construction (Construction Financing Costs)</t>
  </si>
  <si>
    <t>1.3.4. Reserve Accounts</t>
  </si>
  <si>
    <t>1.3.4.1. Maintenance Reserve Account</t>
  </si>
  <si>
    <t>1.3.4.2. Debt Service Reserve Account</t>
  </si>
  <si>
    <t>1.3.4.3. Decommissioning Reserve Account</t>
  </si>
  <si>
    <t>Reccomendation for larger scale projects = ~$150k-$450k</t>
  </si>
  <si>
    <t xml:space="preserve">Could be included as a way to monitor the device via satelite, communications software. </t>
  </si>
  <si>
    <t>10:1 Planetary Gearbox</t>
  </si>
  <si>
    <t>1.1.2.10. Additional PTO Components</t>
  </si>
  <si>
    <t>1.1.2.10.1. Bearings</t>
  </si>
  <si>
    <t>Brushless DC motor</t>
  </si>
  <si>
    <t>12"x10' PVC pipe</t>
  </si>
  <si>
    <t>Permitting &amp; leasing fees (Mass. state waters)</t>
  </si>
  <si>
    <t>Permitting &amp; leasing fees (Mass. federal waters)</t>
  </si>
  <si>
    <t>Permitting &amp; leasing fees (Alaska state waters)</t>
  </si>
  <si>
    <t>1.1.2.10.2. Torsion Spring</t>
  </si>
  <si>
    <t>1.1.2.10.3. Adjustable Clutch</t>
  </si>
  <si>
    <t>1.1.2.10.4. UMD Reel</t>
  </si>
  <si>
    <t>1.1.2.10.5. Rectifier</t>
  </si>
  <si>
    <t>Total CapEx</t>
  </si>
  <si>
    <t>MADWEC CapEx</t>
  </si>
  <si>
    <t>Marine Energy Converter</t>
  </si>
  <si>
    <t>Balance of System</t>
  </si>
  <si>
    <t>MADWEC Information</t>
  </si>
  <si>
    <t>All Locations</t>
  </si>
  <si>
    <t>Financial Cost</t>
  </si>
  <si>
    <t>Parameter</t>
  </si>
  <si>
    <t>Location Description</t>
  </si>
  <si>
    <t>Massachusetts State Waters</t>
  </si>
  <si>
    <t>Massachusetts Federal Waters</t>
  </si>
  <si>
    <t>Alaska State Waters</t>
  </si>
  <si>
    <t>Stage Coordinates</t>
  </si>
  <si>
    <t>Vessel Supplier</t>
  </si>
  <si>
    <t>Port Coordinates</t>
  </si>
  <si>
    <t>Port Description</t>
  </si>
  <si>
    <t>Stage Description</t>
  </si>
  <si>
    <t>Distance from Port to Location (nm)</t>
  </si>
  <si>
    <t>Distance from Stage to Port (nm)</t>
  </si>
  <si>
    <t>Additional Install Total</t>
  </si>
  <si>
    <t>Solar Buoy Information</t>
  </si>
  <si>
    <t xml:space="preserve">Total Buoy Mass [kg] </t>
  </si>
  <si>
    <t>1.1. Solar Buoy</t>
  </si>
  <si>
    <t>1.1.1. OSIL 3.0m Albatross Metocean Buoy</t>
  </si>
  <si>
    <t>Battery Information</t>
  </si>
  <si>
    <t>1.1. Batteries</t>
  </si>
  <si>
    <t>Batteries + AUV</t>
  </si>
  <si>
    <t>Batteries + Remote Monitoring</t>
  </si>
  <si>
    <t>Battery system</t>
  </si>
  <si>
    <t>Battery CapEx</t>
  </si>
  <si>
    <t>Solar Buoy CapEx Total</t>
  </si>
  <si>
    <t>Battery CapEx Total</t>
  </si>
  <si>
    <t>Nearshore 
(Mass. State Waters)</t>
  </si>
  <si>
    <t>Far Offshore
 (Mass. Federal Waters)</t>
  </si>
  <si>
    <t>High Latitude
 (Alaska State Waters)</t>
  </si>
  <si>
    <t>MADWEC + 
AUV</t>
  </si>
  <si>
    <t>MADWEC + 
Remote Monitoring</t>
  </si>
  <si>
    <t>Solar Buoy + 
AUV</t>
  </si>
  <si>
    <t>Solar Buoy + 
Remote Monitoring</t>
  </si>
  <si>
    <t>Batteries + 
AUV</t>
  </si>
  <si>
    <t>Batteries + 
Remote Monitoring</t>
  </si>
  <si>
    <t>Renogy 24V 200Ah Lithium Iron Phosphate cost (per battery)</t>
  </si>
  <si>
    <t>1.1.1. Renogy 24V 200Ah Lithium Iron Phosphate (ONE battery)</t>
  </si>
  <si>
    <t>For AUV Scenario</t>
  </si>
  <si>
    <t>For Sensors Scenario</t>
  </si>
  <si>
    <t>Total MADWEC Mass (kg)</t>
  </si>
  <si>
    <t>Buoy Mass (kg)</t>
  </si>
  <si>
    <t>OSIL 3.0m Albatross Metocean Buoy Cost ($)</t>
  </si>
  <si>
    <t>Model Instructions</t>
  </si>
  <si>
    <t xml:space="preserve">The "Calculations" section of the model tabs are denoted by black headings. The "Calculations" section is linked to the "Inputs" section and uses the values inputted by the user. If the "Inputs" tab is changed, then the "Calculations" tab will change automatically with no action from the user. </t>
  </si>
  <si>
    <t>RESULTS</t>
  </si>
  <si>
    <t>Questions and Contact</t>
  </si>
  <si>
    <t>Based on HERO-WEC price for 4,000lb anchor</t>
  </si>
  <si>
    <t>1.1.2. Data Web Hosting</t>
  </si>
  <si>
    <t>Remus300, 1.5kWh</t>
  </si>
  <si>
    <t>Shipboard equipment</t>
  </si>
  <si>
    <t>O&amp;M training (required)</t>
  </si>
  <si>
    <t>External battery charging box</t>
  </si>
  <si>
    <t>Adjustable Clutch</t>
  </si>
  <si>
    <t>Port of New Bedford docking fees (daily)</t>
  </si>
  <si>
    <t>https://www.saurenergy.com/solar-energy-blog/here-is-how-you-can-calculate-the-annual-solar-energy-output-of-a-photovoltaic-system</t>
  </si>
  <si>
    <t>https://www.sunbasedata.com/how-to-calculate-solar-panel-output</t>
  </si>
  <si>
    <t>https://photovoltaic-software.com/principle-ressources/how-calculate-solar-energy-power-pv-systems</t>
  </si>
  <si>
    <t>Month of Year</t>
  </si>
  <si>
    <t>Hour of Day</t>
  </si>
  <si>
    <t>Nearshore - Monthly Average GHI (kW/m2) by Hour</t>
  </si>
  <si>
    <t>https://www.epa.gov/green-power-markets/green-power-equivalency-calculator-calculations-and-references</t>
  </si>
  <si>
    <t>https://www.linkedin.com/pulse/how-calculate-annual-solar-energy-output-photovoltaic-paul-asikoyo?trk=article-ssr-frontend-pulse_more-articles_related-content-card</t>
  </si>
  <si>
    <t>https://iopscience.iop.org/article/10.1088/1742-6596/710/1/012032/pdf</t>
  </si>
  <si>
    <t>Days per Month</t>
  </si>
  <si>
    <t>Annual Energy Production (kWh)</t>
  </si>
  <si>
    <t>https://eepower.com/technical-articles/how-is-solar-panel-efficiency-measured/#</t>
  </si>
  <si>
    <t>Offshore - Monthly Average GHI (kW/m2) by Hour</t>
  </si>
  <si>
    <t>High Latitude - Monthly Average GHI (kW/m2) by Hour</t>
  </si>
  <si>
    <t>Location</t>
  </si>
  <si>
    <t>AEP (kWh)</t>
  </si>
  <si>
    <t>Daily Energy Production (kWh)</t>
  </si>
  <si>
    <t>Monthly Energy Production (kWh)</t>
  </si>
  <si>
    <t>No. of batteries needed for AUV scenario (will double for backup)</t>
  </si>
  <si>
    <t>No. of batteries needed for monitoring sensors  scenario (will double for backup)</t>
  </si>
  <si>
    <t>Load Demands</t>
  </si>
  <si>
    <t>Offshore Monitoring</t>
  </si>
  <si>
    <t>Energy  (kWh)</t>
  </si>
  <si>
    <t>End-Use</t>
  </si>
  <si>
    <t xml:space="preserve">  </t>
  </si>
  <si>
    <t>Hs/Tp</t>
  </si>
  <si>
    <t>Nearshore Average Power (W)</t>
  </si>
  <si>
    <t>Offshore Average Power (W)</t>
  </si>
  <si>
    <t>High Latitude Average Power (W)</t>
  </si>
  <si>
    <t>Avg. Hourly Energy (Wh)</t>
  </si>
  <si>
    <t xml:space="preserve"> Annual Energy Production (Wh)</t>
  </si>
  <si>
    <t>MADWEC Mean Instantaneous Power Generated  [W]</t>
  </si>
  <si>
    <t>Nearshore Joint Probability Distribution Matrix</t>
  </si>
  <si>
    <t>Offshore Joint Probability Distribution Matrix</t>
  </si>
  <si>
    <t>High Latitude Joint Probability Distribution Matrix</t>
  </si>
  <si>
    <t>Hardware Costs ($)</t>
  </si>
  <si>
    <t>Port of Homer docking fees (daily)</t>
  </si>
  <si>
    <t>This techo-econimic analysis model was created by the National Renewable Energy Laboratory Water Power TEA team for Daniel MacDonald at the Univeristy of Massachusetts, Dartmouth (UMass). The model compares the cost of powering  an AUV and an offshore monitoring station using three different power sources: the Maximal Asymmetric Drag Wave Energy Converter (MADWEC), designed by UMass, a solar buoy, and by manual battery swapping. Each scenario is also evaluated at three different locations: Nearshore (Massachusetts State Waters), Far Offshore (Massachusetts Federal Waters), and High Latitude (Alaska State Waters). There are a total of 18 scenarios (3 power sources * 2 end uses * 3 locations). See the graphic to the right for a breakdown of the 18 scenarios.  
The three different locations impact the installation, shipping, and O&amp;M costs. They also impact the power generation from the different power sources, as the wave and solar resources change at each location. The CapEx of the three power generation sources are modeled using the Department Of Energy's Marine Energy Cost Breakdown Structure.</t>
  </si>
  <si>
    <t>The model is broken up into twelve different tabs: one tab for each cost breakdown (CapEx, Installation, and O&amp;M) for each power source (MADWEC, Solar Buoy, and Battery Swapping), and one tab for the power generation calculations for each power source. Each of the twelve tabs are then broken into three different sections: Inputs, Calculations, and Outputs. See descriptions of each section below.</t>
  </si>
  <si>
    <t xml:space="preserve">The "Outputs" section of the model tabs are denoted with light red headings. The "Outputs" include the final costs or power calculations for each tab- differentiating between the scnearios and locations. The "Outputs" section is linked to the "Calculations" section, so it will display the final cost values with no action from the user. </t>
  </si>
  <si>
    <t>The cost calculations are modeled from existing TEA models and cost curves applicable to marine energies, such as NREL's System Advisor Model. When applicable, actual costs quoted from manufacturers are used. Equations for the power generation calcualations are denoted on the relevant tabs.</t>
  </si>
  <si>
    <t>The "RESULTS" tab at the end of the model  includes the results (costs, power generation, etc.) for all 18 scenarios. The results and their relevant graphics are linked to the outputs on their respective calculation tabs. If the user changes the inputs on a tab, resulting in a change of the outputs, the results tab will update on it's own, so no action is needed from the user.</t>
  </si>
  <si>
    <t>Note</t>
  </si>
  <si>
    <t xml:space="preserve">~$10 per kg for structural steel. This cost can be reduced if using less expensive materials than stainless steel. </t>
  </si>
  <si>
    <t>=10*Buoy Mass</t>
  </si>
  <si>
    <t>=10*Ballast Mass</t>
  </si>
  <si>
    <t>Ballast Mass (kg)</t>
  </si>
  <si>
    <t>=$45.66 * no. of bearings</t>
  </si>
  <si>
    <t>Equations used</t>
  </si>
  <si>
    <t>=0.5*K118</t>
  </si>
  <si>
    <t>=45*24*3</t>
  </si>
  <si>
    <t>=SUM(K297:K298)</t>
  </si>
  <si>
    <t xml:space="preserve">Component given by UMass </t>
  </si>
  <si>
    <t xml:space="preserve">Equation overwritten. Component given by UMass </t>
  </si>
  <si>
    <t>This is the cost of transporting the structural components to the build area. Because it will be dependent on the location scenario (Massachusetts or Alaska), it is calculated in the "Installation" tab instead of the "CapEx" tab.</t>
  </si>
  <si>
    <t>This is the cost of transporting the power conversion chain components to the build area. Because it will be dependent on the location scenario (Massachusetts or Alaska), it is calculated in the "Installation" tab instead of the CapEx tab.</t>
  </si>
  <si>
    <t>No. of bearings = 3</t>
  </si>
  <si>
    <t>Needle Roller Bearings</t>
  </si>
  <si>
    <t>Unable to find actual spring from component list given by Umass, so using a different spring as a placeholder.</t>
  </si>
  <si>
    <t>Garage door torsion spring</t>
  </si>
  <si>
    <t>$0 placeholder cost since no information on UMD reel was provided</t>
  </si>
  <si>
    <t>$0 placeholder cost since no information on battery was provided</t>
  </si>
  <si>
    <t>$0 placeholder cost since no information on rectifier was provided</t>
  </si>
  <si>
    <t>5/16" Dyneema rope</t>
  </si>
  <si>
    <t>Cost of 100m of 5/16" Dynemma rope</t>
  </si>
  <si>
    <t xml:space="preserve">Assuming the parts are being sourced locally.  </t>
  </si>
  <si>
    <t>$75k reccomended placeholder. A more accurate estimate can be calculated by salary * time of a researcher. Assuming assessment is conducted with publicly available data (cost does not include measuring data).</t>
  </si>
  <si>
    <t>$25k-$50k reccomended placeholder. A more accurate estimate can be calculated by salary * time of an environmental engineer/scientist. Cost depends on what types of species need monitoring.</t>
  </si>
  <si>
    <t>$150kreccomended placeholder. Could assume $0 since the TEAMER studies conducted pre-FEED.</t>
  </si>
  <si>
    <t>This is the cost of permitting the project and leasing the area. Because it will be dependent on the location scenario (Massachusetts State/Federal or Alaska), it is calculated in the "Installation" tab instead of the CapEx tab.</t>
  </si>
  <si>
    <t>$600k reccomended placeholder. Assuming one species for two years at $300k/yr/species.</t>
  </si>
  <si>
    <t>$31k reccomended placeholder. One mile of surveying at $6k/mile + $25k for reporting. A more accurate estimate can be calculated by salary * time of a geologist.</t>
  </si>
  <si>
    <t>Riser cost (100m)  from NREL's electrical infrastructure model.</t>
  </si>
  <si>
    <t>This is the cost of the fees at each port. Because they will be dependent on the location scenario (Massachusetts or Alaska), it is calculated in the "Installation" tab instead of the CapEx tab.</t>
  </si>
  <si>
    <t xml:space="preserve">Assembly cost assuming $45/technician/hour * 24 hours * 3 technicians. Can override with more accurate technician pay and time required. </t>
  </si>
  <si>
    <t xml:space="preserve">Assuming $0 for now. Update as more information is determined. </t>
  </si>
  <si>
    <t>Assuming device is purchased outright with no leasing.</t>
  </si>
  <si>
    <t>Only considering assembly costs, since Installation is broken down in the "Installation" tab.</t>
  </si>
  <si>
    <t>Monitoring Station CapEx</t>
  </si>
  <si>
    <t>Cost per day, assuming one day for now</t>
  </si>
  <si>
    <t>Did not respond to quote request, using same cost as Port of Homer. Cost per day, assuming one day for now</t>
  </si>
  <si>
    <t xml:space="preserve">From Mass. To Washington </t>
  </si>
  <si>
    <t>MADWEC (freight)</t>
  </si>
  <si>
    <t>From Washington to Alaska</t>
  </si>
  <si>
    <t>MADWEC (ship)</t>
  </si>
  <si>
    <t>Monitoring system (freight)</t>
  </si>
  <si>
    <t>Monitoring system (ship)</t>
  </si>
  <si>
    <t>AUV (freight)</t>
  </si>
  <si>
    <t>AUV (ship)</t>
  </si>
  <si>
    <t>Port of New Bedford docking fees (1 day)</t>
  </si>
  <si>
    <t>MADWEC shipping</t>
  </si>
  <si>
    <t>Monitoring station shipping</t>
  </si>
  <si>
    <t>AUV shipping</t>
  </si>
  <si>
    <t>One Time Costs Total</t>
  </si>
  <si>
    <t>High Latitude Shipping Costs</t>
  </si>
  <si>
    <t>Port of Homer docking fees (1 day)</t>
  </si>
  <si>
    <t>Permitting &amp; leasing fees (AK  state waters)</t>
  </si>
  <si>
    <t>=SUM(K18,K114,K311)</t>
  </si>
  <si>
    <t>=SUM(K19,K34,K94)</t>
  </si>
  <si>
    <t>=SUM(K20,K27,K28,K32,K33)</t>
  </si>
  <si>
    <t>=SUM(K21:K24)</t>
  </si>
  <si>
    <t>=SUM(K25:K26)</t>
  </si>
  <si>
    <t>=SUM(K29:K31)</t>
  </si>
  <si>
    <t>=SUM(K35,K49,K56,K61,K68:K69,K85:K88)</t>
  </si>
  <si>
    <t>=SUM(K36,K37,K41,K44:K48)</t>
  </si>
  <si>
    <t>=SUM(K38:K40)</t>
  </si>
  <si>
    <t>=SUM(K42:K43)</t>
  </si>
  <si>
    <t>=SUM(K50:K55)</t>
  </si>
  <si>
    <t>=SUM(K57:K60)</t>
  </si>
  <si>
    <t>=SUM(K62:K67)</t>
  </si>
  <si>
    <t>=SUM(K70,K74,K79)</t>
  </si>
  <si>
    <t>=SUM(K71:K73)</t>
  </si>
  <si>
    <t>=SUM(K75:K78)</t>
  </si>
  <si>
    <t>=SUM(K80:K84)</t>
  </si>
  <si>
    <t>=SUM(K89:K91)</t>
  </si>
  <si>
    <t>=SUM(K95:K101,K107,K112:K113)</t>
  </si>
  <si>
    <t>=SUM(K102:K106)</t>
  </si>
  <si>
    <t>=SUM(K108:K111)</t>
  </si>
  <si>
    <t>=SUM(K115,K148,K159,K258,K259,K272,K304)</t>
  </si>
  <si>
    <t>=SUM(K116,K120,K123,K124,K127,K133,K137,K143)</t>
  </si>
  <si>
    <t>=SUM(K117:K119)</t>
  </si>
  <si>
    <t>=SUM(K121:K122)</t>
  </si>
  <si>
    <t>=SUM(K125:K126)</t>
  </si>
  <si>
    <t>=SUM(K128:K132)</t>
  </si>
  <si>
    <t>=SUM(K130:K131)</t>
  </si>
  <si>
    <t>=SUM(K134:K136)</t>
  </si>
  <si>
    <t>Equation overwritten. $100k-$150k reccomended placeholder. A more accurate estimate can be calculated by salary * time of a project manager.</t>
  </si>
  <si>
    <t>=SUM(K138:K142)</t>
  </si>
  <si>
    <t>=SUM(K144:K147)</t>
  </si>
  <si>
    <t>=SUM(K152:K154)</t>
  </si>
  <si>
    <t>=SUM(K157:K158)</t>
  </si>
  <si>
    <t>=SUM(K160,K172,K182,K189,K228,K249)</t>
  </si>
  <si>
    <t>=SUM(K161,K164,K170:K171)</t>
  </si>
  <si>
    <t>=SUM(K162:K163)</t>
  </si>
  <si>
    <t>=SUM(K165:K169)</t>
  </si>
  <si>
    <t>=SUM(K173:K174,K180:K181)</t>
  </si>
  <si>
    <t>=SUM(K175:K179)</t>
  </si>
  <si>
    <t>=SUM(K183:K188)</t>
  </si>
  <si>
    <t>=SUM(K190,K198,K205,K216)</t>
  </si>
  <si>
    <t>=SUM(K191:K197)</t>
  </si>
  <si>
    <t>=SUM(K199:K204)</t>
  </si>
  <si>
    <t>=SUM(K206:K215)</t>
  </si>
  <si>
    <t>=SUM(K217:K227)</t>
  </si>
  <si>
    <t>=SUM(K229,K230,K233,K234,K242,K247,K248)</t>
  </si>
  <si>
    <t>=SUM(K231:K232)</t>
  </si>
  <si>
    <t>=SUM(K235:K241)</t>
  </si>
  <si>
    <t>=SUM(K243:K246)</t>
  </si>
  <si>
    <t>=SUM(K250:K253,K257)</t>
  </si>
  <si>
    <t>=SUM(K254:K256)</t>
  </si>
  <si>
    <t>=SUM(K260,K266:K268)</t>
  </si>
  <si>
    <t>=SUM(K261:K265)</t>
  </si>
  <si>
    <t>=SUM(K269:K271)</t>
  </si>
  <si>
    <t>=SUM(K273,K278,K281,K299,K303)</t>
  </si>
  <si>
    <t>=SUM(K274:K277)</t>
  </si>
  <si>
    <t>=SUM(K279:K280)</t>
  </si>
  <si>
    <t>=SUM(K282,K287,K293,K296)</t>
  </si>
  <si>
    <t>=SUM(K283:K286)</t>
  </si>
  <si>
    <t>=SUM(K288:K292)</t>
  </si>
  <si>
    <t>=SUM(K294:K295)</t>
  </si>
  <si>
    <t>=SUM(K300:K302)</t>
  </si>
  <si>
    <t>=SUM(K305:K310)</t>
  </si>
  <si>
    <t>=SUM(K312:K315)</t>
  </si>
  <si>
    <t>=SUM(K316:K318)</t>
  </si>
  <si>
    <t>Equation overwritten. $958k reccomended placeholder. This is the engineering costs throughout the deployment process. Assuming ~half the time as Development timeline, so also half the cost.</t>
  </si>
  <si>
    <t>Equations Used</t>
  </si>
  <si>
    <t>OSIL Albatross</t>
  </si>
  <si>
    <t>Equation overwritten. $50 placeholder cost since no information on "buck boost" converter was provided</t>
  </si>
  <si>
    <t>=SUM(K22,K29,K226)</t>
  </si>
  <si>
    <t>=SUM(K23:K25)+K28</t>
  </si>
  <si>
    <t>=SUM(K26:K27)</t>
  </si>
  <si>
    <t xml:space="preserve">Quote from manufacturer </t>
  </si>
  <si>
    <t>=SUM(K29,K62,K73,K172,K173,K186,K218)</t>
  </si>
  <si>
    <t>=SUM(K30,K34,K37,K38,K41,K47,K51,K57)</t>
  </si>
  <si>
    <t>=SUM(K31:K33)</t>
  </si>
  <si>
    <t>=SUM(K35:K36)</t>
  </si>
  <si>
    <t>=SUM(K39:K40)</t>
  </si>
  <si>
    <t>=SUM(K42:K46)</t>
  </si>
  <si>
    <t>=SUM(K44:K45)</t>
  </si>
  <si>
    <t>=SUM(K48:K50)</t>
  </si>
  <si>
    <t>=SUM(K52:K56)</t>
  </si>
  <si>
    <t>=SUM(K58:K61)</t>
  </si>
  <si>
    <t>=0.5*K29</t>
  </si>
  <si>
    <t>=SUM(K66:K68)</t>
  </si>
  <si>
    <t>=SUM(K71:K72)</t>
  </si>
  <si>
    <t>=SUM(K74,K86,K96,K103,K142,K163)</t>
  </si>
  <si>
    <t>=SUM(K75,K78,K84:K85)</t>
  </si>
  <si>
    <t>=SUM(K76:K77)</t>
  </si>
  <si>
    <t>=SUM(K79:K83)</t>
  </si>
  <si>
    <t>=SUM(K87:K88,K94:K95)</t>
  </si>
  <si>
    <t>=SUM(K89:K93)</t>
  </si>
  <si>
    <t>=SUM(K97:K102)</t>
  </si>
  <si>
    <t>=SUM(K104,K112,K119,K130)</t>
  </si>
  <si>
    <t>=SUM(K105:K111)</t>
  </si>
  <si>
    <t>=SUM(K113:K118)</t>
  </si>
  <si>
    <t>=SUM(K120:K129)</t>
  </si>
  <si>
    <t>=SUM(K131:K141)</t>
  </si>
  <si>
    <t>=SUM(K143,K144,K147,K148,K156,K161,K162)</t>
  </si>
  <si>
    <t>=SUM(K145:K146)</t>
  </si>
  <si>
    <t>=SUM(K149:K155)</t>
  </si>
  <si>
    <t>=SUM(K157:K160)</t>
  </si>
  <si>
    <t>=SUM(K164:K167,K171)</t>
  </si>
  <si>
    <t>=SUM(K168:K170)</t>
  </si>
  <si>
    <t>=SUM(K174,K180:K182)</t>
  </si>
  <si>
    <t>=SUM(K183:K185)</t>
  </si>
  <si>
    <t>=SUM(K187,K192,K195,K213,K217)</t>
  </si>
  <si>
    <t>=SUM(K188:K191)</t>
  </si>
  <si>
    <t>=SUM(K193:K194)</t>
  </si>
  <si>
    <t>=SUM(K196,K201,K207,K210)</t>
  </si>
  <si>
    <t>=SUM(K197:K200)</t>
  </si>
  <si>
    <t>=SUM(K202:K206)</t>
  </si>
  <si>
    <t>=SUM(K208:K209)</t>
  </si>
  <si>
    <t>=SUM(K211:K212)</t>
  </si>
  <si>
    <t>=SUM(K214:K216)</t>
  </si>
  <si>
    <t>=SUM(K219:K224)</t>
  </si>
  <si>
    <t>=SUM(K226:K229)</t>
  </si>
  <si>
    <t>=SUM(K230:K232)</t>
  </si>
  <si>
    <t>1.2.6.2. Solar Buoy Device</t>
  </si>
  <si>
    <t>'Includes: radar reflector, 4x160 W solar panels, marine lantern, yellow top X mark, 6x119Ah battery, 2x lifting points, 2x mooring points, GSM antenna</t>
  </si>
  <si>
    <t>1.1.2. Platform buoy</t>
  </si>
  <si>
    <t>Included here instead of CapEx model because the cost of shipping changes with location and the CapEx model does not change with location. 
Assuming shipping to MA is negligible.</t>
  </si>
  <si>
    <t>Solar Buoy shipping</t>
  </si>
  <si>
    <t>Permitting &amp; leasing fees (AK. state waters)</t>
  </si>
  <si>
    <t>AUV Batteries (freight)</t>
  </si>
  <si>
    <t>AUV Batteries (ship)</t>
  </si>
  <si>
    <t>Monitoring Batteries (freight)</t>
  </si>
  <si>
    <t>Monitoring Batteries (ship)</t>
  </si>
  <si>
    <t>Battery  shipping (AUV)</t>
  </si>
  <si>
    <t>Battery  shipping (Monitoring)</t>
  </si>
  <si>
    <t>Equation Used</t>
  </si>
  <si>
    <t>Total Battery Mass per battery  (kg)</t>
  </si>
  <si>
    <t>Battery Platform</t>
  </si>
  <si>
    <t>Renogy Battery</t>
  </si>
  <si>
    <t xml:space="preserve">Using 5/16" Dynemma, 100m </t>
  </si>
  <si>
    <t>Battery Swapping CapEx</t>
  </si>
  <si>
    <t>=SUM(K16,K22,K219)</t>
  </si>
  <si>
    <t>=SUM(K17:K19)</t>
  </si>
  <si>
    <t>=SUM(K20:K21)</t>
  </si>
  <si>
    <t>=SUM(K23,K56,K67,K166,K167,K180,K212)</t>
  </si>
  <si>
    <t>=SUM(K24,K28,K31,K32,K35,K41,K45,K51)</t>
  </si>
  <si>
    <t>=SUM(K25:K27)</t>
  </si>
  <si>
    <t>=SUM(K29:K30)</t>
  </si>
  <si>
    <t>=SUM(K33:K34)</t>
  </si>
  <si>
    <t>=SUM(K36:K40)</t>
  </si>
  <si>
    <t>=SUM(K38:K39)</t>
  </si>
  <si>
    <t>=SUM(K42:K44)</t>
  </si>
  <si>
    <t>=SUM(K46:K50)</t>
  </si>
  <si>
    <t>=SUM(K52:K55)</t>
  </si>
  <si>
    <t>=0.5*K23</t>
  </si>
  <si>
    <t>=SUM(K60:K62)</t>
  </si>
  <si>
    <t>=SUM(K65:K66)</t>
  </si>
  <si>
    <t>=SUM(K68,K80,K90,K97,K136,K157)</t>
  </si>
  <si>
    <t>=SUM(K69,K72,K78:K79)</t>
  </si>
  <si>
    <t>=SUM(K70:K71)</t>
  </si>
  <si>
    <t>=SUM(K73:K77)</t>
  </si>
  <si>
    <t>=SUM(K81:K82,K88:K89)</t>
  </si>
  <si>
    <t>=SUM(K83:K87)</t>
  </si>
  <si>
    <t>=SUM(K91:K96)</t>
  </si>
  <si>
    <t>=SUM(K98,K106,K113,K124)</t>
  </si>
  <si>
    <t>=SUM(K99:K105)</t>
  </si>
  <si>
    <t>=SUM(K107:K112)</t>
  </si>
  <si>
    <t>=SUM(K114:K123)</t>
  </si>
  <si>
    <t>=SUM(K125:K135)</t>
  </si>
  <si>
    <t>=SUM(K137,K138,K141,K142,K150,K155,K156)</t>
  </si>
  <si>
    <t>=SUM(K139:K140)</t>
  </si>
  <si>
    <t>=SUM(K143:K149)</t>
  </si>
  <si>
    <t>=SUM(K151:K154)</t>
  </si>
  <si>
    <t>=SUM(K158:K161,K165)</t>
  </si>
  <si>
    <t>=SUM(K162:K164)</t>
  </si>
  <si>
    <t>=SUM(K168,K174:K176)</t>
  </si>
  <si>
    <t>=SUM(K169:K173)</t>
  </si>
  <si>
    <t>=SUM(K177:K179)</t>
  </si>
  <si>
    <t>=SUM(K181,K186,K189,K207,K211)</t>
  </si>
  <si>
    <t>=SUM(K182:K185)</t>
  </si>
  <si>
    <t>=SUM(K187:K188)</t>
  </si>
  <si>
    <t>=SUM(K190,K195,K201,K204)</t>
  </si>
  <si>
    <t>=SUM(K191:K194)</t>
  </si>
  <si>
    <t>=SUM(K196:K200)</t>
  </si>
  <si>
    <t>=SUM(K202:K203)</t>
  </si>
  <si>
    <t>=SUM(K205:K206)</t>
  </si>
  <si>
    <t>=SUM(K208:K210)</t>
  </si>
  <si>
    <t>=SUM(K213:K218)</t>
  </si>
  <si>
    <t>=SUM(K220:K223)</t>
  </si>
  <si>
    <t>=SUM(K224:K226)</t>
  </si>
  <si>
    <t>1.2.6.2. Battery System Device</t>
  </si>
  <si>
    <t>Renogy 24V 200Ah Energy Capacity (Wh)</t>
  </si>
  <si>
    <t xml:space="preserve">   &lt;- Number of batteries required are 
   doubled here, assuming one set is 
   powering the system and one set is 
   onshore being recharged.</t>
  </si>
  <si>
    <t>Single Battery System</t>
  </si>
  <si>
    <t>No. of batteries needed for monitoring sensors  scenario (lasts two months)</t>
  </si>
  <si>
    <t>No. of batteries needed for AUV scenario (lasts two months)</t>
  </si>
  <si>
    <t>Annual Energy (kWh) =  (Battery Capacity / (1000 W/kW))  * No. of Batteries * 6</t>
  </si>
  <si>
    <t>Solar Power equation sources:</t>
  </si>
  <si>
    <t>CapEx</t>
  </si>
  <si>
    <t>Cost Breakdown</t>
  </si>
  <si>
    <t>O&amp;M (1 yr)</t>
  </si>
  <si>
    <t>=J6</t>
  </si>
  <si>
    <t xml:space="preserve">Riser cost (100m)  from NREL's Electrical Infrastructure Model (not public). Dependent on bathymetry or depth of device. </t>
  </si>
  <si>
    <t>Installation Time</t>
  </si>
  <si>
    <t>Cost per day, assuming one day for now. Quote from Port.</t>
  </si>
  <si>
    <t>Port did not respond to quote request, using same cost as Port of Homer. Cost per day, assuming one day for now</t>
  </si>
  <si>
    <t>O&amp;M Time</t>
  </si>
  <si>
    <t>$150k reccomended placeholder. Could assume $0 since the TEAMER studies conducted pre-FEED.</t>
  </si>
  <si>
    <t>Financials</t>
  </si>
  <si>
    <t>Monitoring System</t>
  </si>
  <si>
    <t>CapEx (Monitoring System Scenarios)</t>
  </si>
  <si>
    <t>Energy Converter/ Storage</t>
  </si>
  <si>
    <t>One 4-paneled buoy</t>
  </si>
  <si>
    <t>One 6-paneled buoy</t>
  </si>
  <si>
    <t>Three 4-paneled buoys</t>
  </si>
  <si>
    <t>Two 4-paneled buoys</t>
  </si>
  <si>
    <t>MADWEC - Single Device</t>
  </si>
  <si>
    <t>Solar Buoy - Single Device</t>
  </si>
  <si>
    <t>Battery Swapping (Monitoring System) - Single Device</t>
  </si>
  <si>
    <t>AUV Component</t>
  </si>
  <si>
    <t>Component Cost</t>
  </si>
  <si>
    <t>No. of Components</t>
  </si>
  <si>
    <t>Cost (Single Device)</t>
  </si>
  <si>
    <t>No. of Devices</t>
  </si>
  <si>
    <t>r-value</t>
  </si>
  <si>
    <t>Cost (Array)</t>
  </si>
  <si>
    <t>All Locations Calculations</t>
  </si>
  <si>
    <t>Install/O&amp;M Vessel 
(Vessel 1 to Location 1)</t>
  </si>
  <si>
    <t>Install/O&amp;M Vessel (Vesssel 2 to Location 2)</t>
  </si>
  <si>
    <t>Install/O&amp;M Vessel (Vesssel 3 to Location 3)</t>
  </si>
  <si>
    <t>Solar Buoy (hardware only)</t>
  </si>
  <si>
    <t>Type of Maintenance</t>
  </si>
  <si>
    <t>Frequency (per year)*</t>
  </si>
  <si>
    <t>Frequency of Maintenance</t>
  </si>
  <si>
    <t>Battery System (single device)</t>
  </si>
  <si>
    <t>Configuration</t>
  </si>
  <si>
    <t>Solar Panel Wattage (W)</t>
  </si>
  <si>
    <t>No. of Solar Panels</t>
  </si>
  <si>
    <t>No. of Batteries</t>
  </si>
  <si>
    <t>Solar Buoy Configurations</t>
  </si>
  <si>
    <t>Performance Ratio (PR)</t>
  </si>
  <si>
    <t>Solar Panel Area (m2)</t>
  </si>
  <si>
    <t>Solar Panel Information</t>
  </si>
  <si>
    <t>Scenario Information</t>
  </si>
  <si>
    <t>Note:</t>
  </si>
  <si>
    <t>Single Device</t>
  </si>
  <si>
    <t>AUV, Nearshore</t>
  </si>
  <si>
    <t>AUV, Far Offshore</t>
  </si>
  <si>
    <t>AUV, Offshore</t>
  </si>
  <si>
    <t>AUV, High Latitude</t>
  </si>
  <si>
    <t>Remote Monitoring, Nearshore</t>
  </si>
  <si>
    <t>Remote Monitoring, Offshore</t>
  </si>
  <si>
    <t>Remote Monitoring, Far Offshore</t>
  </si>
  <si>
    <t>Remote Monitoring, High Latitude</t>
  </si>
  <si>
    <t>MADWEC Array Sizing</t>
  </si>
  <si>
    <t>Solar Buoy Configuration</t>
  </si>
  <si>
    <t>r (solar panel yield)</t>
  </si>
  <si>
    <t>Nearshore - Hourly Energy Production, by month  (kW)</t>
  </si>
  <si>
    <t>AEP - Single Solar Panel</t>
  </si>
  <si>
    <t>Far Offshore - Hourly Energy Production, by month  (kW)</t>
  </si>
  <si>
    <t>High Latitude - Hourly Energy Production, by month  (kW)</t>
  </si>
  <si>
    <t>Battery System (array - multiple devices)</t>
  </si>
  <si>
    <t>All Scenarios Calculations</t>
  </si>
  <si>
    <t>MADWEC CapEx Total (single-device)</t>
  </si>
  <si>
    <r>
      <t>MADWEC (</t>
    </r>
    <r>
      <rPr>
        <b/>
        <i/>
        <sz val="14"/>
        <color theme="1"/>
        <rFont val="Calibri"/>
        <family val="2"/>
        <scheme val="minor"/>
      </rPr>
      <t>single device</t>
    </r>
    <r>
      <rPr>
        <b/>
        <sz val="14"/>
        <color theme="1"/>
        <rFont val="Calibri"/>
        <family val="2"/>
        <scheme val="minor"/>
      </rPr>
      <t>)</t>
    </r>
  </si>
  <si>
    <r>
      <t>MADWEC (</t>
    </r>
    <r>
      <rPr>
        <b/>
        <i/>
        <sz val="14"/>
        <color theme="1"/>
        <rFont val="Calibri"/>
        <family val="2"/>
        <scheme val="minor"/>
      </rPr>
      <t>array</t>
    </r>
    <r>
      <rPr>
        <b/>
        <sz val="14"/>
        <color theme="1"/>
        <rFont val="Calibri"/>
        <family val="2"/>
        <scheme val="minor"/>
      </rPr>
      <t>)</t>
    </r>
  </si>
  <si>
    <t>Total O&amp;M Costs</t>
  </si>
  <si>
    <r>
      <t>MADWEC (</t>
    </r>
    <r>
      <rPr>
        <b/>
        <i/>
        <sz val="14"/>
        <color theme="1"/>
        <rFont val="Calibri"/>
        <family val="2"/>
        <scheme val="minor"/>
      </rPr>
      <t>single device, one year</t>
    </r>
    <r>
      <rPr>
        <b/>
        <sz val="14"/>
        <color theme="1"/>
        <rFont val="Calibri"/>
        <family val="2"/>
        <scheme val="minor"/>
      </rPr>
      <t>)</t>
    </r>
  </si>
  <si>
    <t>Annual Energy Production</t>
  </si>
  <si>
    <t>Remote Monitoring</t>
  </si>
  <si>
    <t>Annual Energy Requirements</t>
  </si>
  <si>
    <r>
      <t>Solar Buoy (</t>
    </r>
    <r>
      <rPr>
        <b/>
        <i/>
        <sz val="14"/>
        <color theme="1"/>
        <rFont val="Calibri"/>
        <family val="2"/>
        <scheme val="minor"/>
      </rPr>
      <t>single device</t>
    </r>
    <r>
      <rPr>
        <b/>
        <sz val="14"/>
        <color theme="1"/>
        <rFont val="Calibri"/>
        <family val="2"/>
        <scheme val="minor"/>
      </rPr>
      <t>)</t>
    </r>
  </si>
  <si>
    <r>
      <t>Solar Buoy (</t>
    </r>
    <r>
      <rPr>
        <b/>
        <i/>
        <sz val="14"/>
        <color theme="1"/>
        <rFont val="Calibri"/>
        <family val="2"/>
        <scheme val="minor"/>
      </rPr>
      <t>array</t>
    </r>
    <r>
      <rPr>
        <b/>
        <sz val="14"/>
        <color theme="1"/>
        <rFont val="Calibri"/>
        <family val="2"/>
        <scheme val="minor"/>
      </rPr>
      <t>)</t>
    </r>
  </si>
  <si>
    <r>
      <t xml:space="preserve">See </t>
    </r>
    <r>
      <rPr>
        <i/>
        <sz val="11"/>
        <color theme="1"/>
        <rFont val="Calibri"/>
        <family val="2"/>
        <scheme val="minor"/>
      </rPr>
      <t>Solar Buoy Configurations</t>
    </r>
    <r>
      <rPr>
        <sz val="11"/>
        <color theme="1"/>
        <rFont val="Calibri"/>
        <family val="2"/>
        <scheme val="minor"/>
      </rPr>
      <t xml:space="preserve"> Table</t>
    </r>
  </si>
  <si>
    <r>
      <t>Buoy Cost (</t>
    </r>
    <r>
      <rPr>
        <b/>
        <i/>
        <sz val="12"/>
        <color theme="1"/>
        <rFont val="Calibri"/>
        <family val="2"/>
        <scheme val="minor"/>
      </rPr>
      <t>single device</t>
    </r>
    <r>
      <rPr>
        <b/>
        <sz val="12"/>
        <color theme="1"/>
        <rFont val="Calibri"/>
        <family val="2"/>
        <scheme val="minor"/>
      </rPr>
      <t>)</t>
    </r>
  </si>
  <si>
    <t>=H4</t>
  </si>
  <si>
    <r>
      <t>Solar Buoy (</t>
    </r>
    <r>
      <rPr>
        <b/>
        <i/>
        <sz val="11"/>
        <color theme="1"/>
        <rFont val="Calibri"/>
        <family val="2"/>
        <scheme val="minor"/>
      </rPr>
      <t>Single Device</t>
    </r>
    <r>
      <rPr>
        <b/>
        <sz val="11"/>
        <color theme="1"/>
        <rFont val="Calibri"/>
        <family val="2"/>
        <scheme val="minor"/>
      </rPr>
      <t>) Cost</t>
    </r>
  </si>
  <si>
    <r>
      <t>Solar Buoy (</t>
    </r>
    <r>
      <rPr>
        <b/>
        <i/>
        <sz val="14"/>
        <color theme="1"/>
        <rFont val="Calibri"/>
        <family val="2"/>
        <scheme val="minor"/>
      </rPr>
      <t>single panel</t>
    </r>
    <r>
      <rPr>
        <b/>
        <sz val="14"/>
        <color theme="1"/>
        <rFont val="Calibri"/>
        <family val="2"/>
        <scheme val="minor"/>
      </rPr>
      <t>)</t>
    </r>
  </si>
  <si>
    <r>
      <t>Solar Buoy (a</t>
    </r>
    <r>
      <rPr>
        <b/>
        <i/>
        <sz val="14"/>
        <color theme="1"/>
        <rFont val="Calibri"/>
        <family val="2"/>
        <scheme val="minor"/>
      </rPr>
      <t>rray</t>
    </r>
    <r>
      <rPr>
        <b/>
        <sz val="14"/>
        <color theme="1"/>
        <rFont val="Calibri"/>
        <family val="2"/>
        <scheme val="minor"/>
      </rPr>
      <t>)</t>
    </r>
  </si>
  <si>
    <t xml:space="preserve">Load Demands </t>
  </si>
  <si>
    <t xml:space="preserve">Battery System </t>
  </si>
  <si>
    <r>
      <t>Battery System (</t>
    </r>
    <r>
      <rPr>
        <b/>
        <i/>
        <sz val="14"/>
        <color theme="1"/>
        <rFont val="Calibri"/>
        <family val="2"/>
        <scheme val="minor"/>
      </rPr>
      <t>single year</t>
    </r>
    <r>
      <rPr>
        <b/>
        <sz val="14"/>
        <color theme="1"/>
        <rFont val="Calibri"/>
        <family val="2"/>
        <scheme val="minor"/>
      </rPr>
      <t>)</t>
    </r>
  </si>
  <si>
    <t>Single Battery</t>
  </si>
  <si>
    <t xml:space="preserve">Total CapEx + Install + O&amp;M (1 year) Costs </t>
  </si>
  <si>
    <t xml:space="preserve">Total CapEx + Install + O&amp;M (3 years) Costs </t>
  </si>
  <si>
    <t>Device</t>
  </si>
  <si>
    <t>Power Supply Costs (CapEx - BOS - Financials)</t>
  </si>
  <si>
    <t>Array (Multiple Devices)</t>
  </si>
  <si>
    <t>Energy Requirement Fulffillments for End-Use</t>
  </si>
  <si>
    <t>No. of devices required for 100% energy requirement fulfillment</t>
  </si>
  <si>
    <t>Battery</t>
  </si>
  <si>
    <t>Solar Buoy (single solar panel)</t>
  </si>
  <si>
    <t>Battery (single battery)</t>
  </si>
  <si>
    <t>MADWEC (single WEC)</t>
  </si>
  <si>
    <r>
      <t xml:space="preserve">Note: Number of solar devices represents the total number of solar </t>
    </r>
    <r>
      <rPr>
        <i/>
        <sz val="14"/>
        <color theme="1"/>
        <rFont val="Calibri"/>
        <family val="2"/>
        <scheme val="minor"/>
      </rPr>
      <t>panels</t>
    </r>
    <r>
      <rPr>
        <sz val="14"/>
        <color theme="1"/>
        <rFont val="Calibri"/>
        <family val="2"/>
        <scheme val="minor"/>
      </rPr>
      <t xml:space="preserve"> in the array</t>
    </r>
  </si>
  <si>
    <t xml:space="preserve">For questions about the model, contact Tina Ortega (tina.ortega@nrel.gov) or Elena Baca (elena.baca@nrel.gov). Model completed February, 2024. </t>
  </si>
  <si>
    <r>
      <t xml:space="preserve">     Cells with equations should only be written over if a more accurate  value has been determined and the calculation estimate is no longer needed. If the user overwrites a cell that contains an  equation, be sure that it will not  affect any other value that it is linked to. 
If applicable, cells with equations will have the equations written next to them in Column L so they can be referenced even if  accidentally overwritten. Any of the blue cells in the input tables </t>
    </r>
    <r>
      <rPr>
        <sz val="11"/>
        <color theme="1"/>
        <rFont val="Calibri (Body)"/>
      </rPr>
      <t>can</t>
    </r>
    <r>
      <rPr>
        <sz val="11"/>
        <color theme="1"/>
        <rFont val="Calibri"/>
        <family val="2"/>
        <scheme val="minor"/>
      </rPr>
      <t xml:space="preserve"> be edited and will only affect the  final cost.
     The cost breakdown structure has up to six levels (eg. 1.1.1.1.1.1). When a particular section does not need six levels of descriptive input, the rows are "hidden". Hidden rows are denoted with green lines on the numeric row banner on the  left side of the Excel tab. 
To expand the hidden rows, click the "+" icon to show all rows under that level. To hide rows in a particular level, click the "-" icon.  As the MADWEC is designed in more detail, it is reccomended to expand the hidden rows and add to the model when sections become applicable. 
The CBS adapted from NREL's Marine Energy Cost Breakdown Structure (https://openei.org/wiki/PRIMRE/Telesto/Economics). 
    The R-value in the MADWEC Information input table represents the learning rate of the components that are being scaled. The first of a kind component (or in this case, the first MADWEC) will cost more than the nth component that is manufactured. The learning rate varies from industry to industry 
as well as technology to technology,  and is often gathered or calculated from literature and historical data. Components with more immature technologies will typically have R-values, meaning the nth components will have more of a significant drop in cost  than the 1st component. </t>
    </r>
  </si>
  <si>
    <t xml:space="preserve">Cells with equations should only be written over if a more accurate  value has been determined and the calculation estimate is no longer needed. If the user overwrites a cell that contains an  equation, be sure that it will not  affect any other value that it is linked to. If applicable, cells with equations will have the equations written next to them in Column L so they can be referenced even if  accidentally overwritten. Any of the blue cells in the input tables can be edited and will only affect the  final cost.
     The cost breakdown structure has up to six levels (eg. 1.1.1.1.1.1). When a particular section does not need six levels of descriptive input, the rows are "hidden". Hidden rows are denoted with green lines on the numeric row banner on the  left side of the Excel tab. To expand the hidden rows, click the "+" icon to show all rows under that level. To hide rows in a particular level, click the "-" icon.  As the MADWEC is designed in more detail, it is reccomended to expand the hidden rows and add to the model when sections become applicable. The CBS adapted from NREL's Marine Energy Cost Breakdown Structure (https://openei.org/wiki/PRIMRE/Telesto/Economics). 
    The R-value in the Solar Buoy Information input table represents the learning rate of the components that are being scaled. The first of a kind component (or in this case, the first Solar Buoy) will cost more than the nth component that is manufactured. The learning rate varies from industry to industry as well as technology to technology,  and is often gathered or calculated from literature and historical data. Components with more immature technologies will typically have R-values, meaning the nth components will have more of a significant drop in cost  than the 1st component. </t>
  </si>
  <si>
    <t xml:space="preserve">For the MADWEC and battery scenarios, the user can simply scale the power output by increasing the number of devices used in an array. The solar buoy scenario has slightly more inputs because the solar buoys are made scecific to the users needs and location. In this case, two different solar buoy configuratiosn are provided, one with 4 solar panels and one with six solar panels. These two configurations are given to avoid over-sizing the array when applicable. The Scenario Infprmation input table allows the user to choose which solar buoy configuration to use, and also the number of solar buoys (of that configuration) to choose. 
The Performance Ratio (PR) input in the Solar Panel Information table reprsents the external losses that might occur on the solar panels, such as shadowing and icing. Typical values range between 0.5-0.75. </t>
  </si>
  <si>
    <t xml:space="preserve">Cells with equations should only be written over if a more accurate  value has been determined and the calculation estimate is no longer needed. If the user overwrites a cell that contains an  equation, be sure that it will not  affect any other value that it is linked to. If applicable, cells with equations will have the equations written next to them in Column L so they can be referenced even if  accidentally overwritten. Any of the blue cells in the input tables can be edited and will only affect the  final cost.
     The cost breakdown structure has up to six levels (eg. 1.1.1.1.1.1). When a particular section does not need six levels of descriptive input, the rows are "hidden". Hidden rows are denoted with green lines on the numeric row banner on the  left side of the Excel tab. To expand the hidden rows, click the ""+"" icon to show all rows under that level. To hide rows in a particular level, click the "-" icon.  The CBS adapted from NREL's Marine Energy Cost Breakdown Structure (https://openei.org/wiki/PRIMRE/Telesto/Economics). 
			</t>
  </si>
  <si>
    <t>Note: Main cost driver here is CapEx</t>
  </si>
  <si>
    <t>Note: Main cost driver here is BOS</t>
  </si>
  <si>
    <t>Installation learning rate (for array)</t>
  </si>
  <si>
    <t>Note: Does not include O&amp;M costs</t>
  </si>
  <si>
    <t>CapEx + Install costs for 100% energy requirement fulfillment</t>
  </si>
  <si>
    <t xml:space="preserve">PASSWORD </t>
  </si>
  <si>
    <r>
      <t xml:space="preserve">PASSWORD: </t>
    </r>
    <r>
      <rPr>
        <b/>
        <sz val="12"/>
        <color rgb="FFFF0000"/>
        <rFont val="Calibri (Body)"/>
      </rPr>
      <t>MADWEC</t>
    </r>
  </si>
  <si>
    <t>Meets Load Requirement?</t>
  </si>
  <si>
    <r>
      <rPr>
        <b/>
        <sz val="11"/>
        <color theme="1"/>
        <rFont val="Calibri"/>
        <family val="2"/>
        <scheme val="minor"/>
      </rPr>
      <t xml:space="preserve">Note: </t>
    </r>
    <r>
      <rPr>
        <sz val="11"/>
        <color theme="1"/>
        <rFont val="Calibri"/>
        <family val="2"/>
        <scheme val="minor"/>
      </rPr>
      <t xml:space="preserve">
Because the number of MADWECs required in the array is so high, Installation of the array is likely not able to be done in a day or two. Installation costs were scaled using array scaling with a learning rate that can be defined in the "Installation Time" input table. A higher learning rate of &gt;10% is reccomended. </t>
    </r>
  </si>
  <si>
    <r>
      <rPr>
        <b/>
        <sz val="11"/>
        <color theme="1"/>
        <rFont val="Calibri"/>
        <family val="2"/>
        <scheme val="minor"/>
      </rPr>
      <t>Note:</t>
    </r>
    <r>
      <rPr>
        <sz val="11"/>
        <color theme="1"/>
        <rFont val="Calibri"/>
        <family val="2"/>
        <scheme val="minor"/>
      </rPr>
      <t xml:space="preserve">
The "Scenario Information" input table is repeated from the MADWEC CapEx tab. The input table is linked to the MADWEC CapEx tab so the user only needs to input the information once. If the user wants to override this, unprotect the tab and unlock the cells you wish to write over.</t>
    </r>
  </si>
  <si>
    <t xml:space="preserve">All tabs in this model are protected and locked, so that the user doesn't accidentally edit cells that are not meant to be edited. Only cells with specific user inputs (light blue cells) can be edited. If the user wishes to override this protection, they will need to unprotect the sheet with a password. The password for all tabs in the model is: </t>
  </si>
  <si>
    <t>The "Inputs" section of the model tabs are denoted with blue headings, and input cells are denoted with light blue colors. The "Inputs" section is the only section on each tab that requires the user to input information about the scenario. Each input can be changed from its default values as new information is dicovered or changed. Any cell that is not denoted with a light blue color is locked from the user. To undo this lock, unprotect the sheet and type in the password listed above.</t>
  </si>
  <si>
    <r>
      <rPr>
        <b/>
        <sz val="11"/>
        <color theme="1"/>
        <rFont val="Calibri"/>
        <family val="2"/>
        <scheme val="minor"/>
      </rPr>
      <t>Note:</t>
    </r>
    <r>
      <rPr>
        <sz val="11"/>
        <color theme="1"/>
        <rFont val="Calibri"/>
        <family val="2"/>
        <scheme val="minor"/>
      </rPr>
      <t xml:space="preserve">
If the power produced in a scenario's array does not meet the power requirements of its end-use, a warning will automatically occur under the "Meets Load Requirement?" column of the MADWEC Array Sizing input table. If this occurs, increase the number of devices in the array until the power requirement is met. 
The values referenced in the "No. of Devices" column are linked to the values inputted in the "MADWEC CapEx" tab. If the user wishes to change these values, it is reccomended to change them in the CapEx tab, but not necessary.</t>
    </r>
  </si>
  <si>
    <r>
      <rPr>
        <b/>
        <sz val="11"/>
        <color theme="1"/>
        <rFont val="Calibri"/>
        <family val="2"/>
        <scheme val="minor"/>
      </rPr>
      <t xml:space="preserve">Note: </t>
    </r>
    <r>
      <rPr>
        <sz val="11"/>
        <color theme="1"/>
        <rFont val="Calibri"/>
        <family val="2"/>
        <scheme val="minor"/>
      </rPr>
      <t xml:space="preserve">
Because the number of Solar Buoys required in the array is low, Installation of the array can likely  be done within a short time frame.. Installation costs were not scaled using array scaling. Instead, the times required for installation can be adjusted in the "Installation Time" input table.</t>
    </r>
  </si>
  <si>
    <r>
      <rPr>
        <b/>
        <sz val="11"/>
        <color theme="1"/>
        <rFont val="Calibri"/>
        <family val="2"/>
        <scheme val="minor"/>
      </rPr>
      <t>Note:</t>
    </r>
    <r>
      <rPr>
        <sz val="11"/>
        <color theme="1"/>
        <rFont val="Calibri"/>
        <family val="2"/>
        <scheme val="minor"/>
      </rPr>
      <t xml:space="preserve">
The "Location Information", "Vessel Information", "One Time Costs", and  "Labor Information"  input tables are repeated from the MADWEC Installation tab. The input tables are linked to the MADWEC Installation tab so the user only needs to input the information once. If the user wants to override this, unprotect the tab and unlock the cells you wish to write over.</t>
    </r>
  </si>
  <si>
    <r>
      <rPr>
        <b/>
        <sz val="11"/>
        <color theme="1"/>
        <rFont val="Calibri"/>
        <family val="2"/>
        <scheme val="minor"/>
      </rPr>
      <t>Note:</t>
    </r>
    <r>
      <rPr>
        <sz val="11"/>
        <color theme="1"/>
        <rFont val="Calibri"/>
        <family val="2"/>
        <scheme val="minor"/>
      </rPr>
      <t xml:space="preserve">
The "Location Information", "Vessel Information" and "Labor Information" input tables are repeated from the MADWEC Installation tab. The input tables are linked to the MADWEC Installation tab so the user only needs to input the information once. If the user wants to override this, unprotect the tab and unlock the cells you wish to write over.</t>
    </r>
  </si>
  <si>
    <t>Installation (Averaged by Location)</t>
  </si>
  <si>
    <t>AUV System</t>
  </si>
  <si>
    <t>Balance of Systems</t>
  </si>
  <si>
    <t>CapEx (AUV Scenarios) - Single Device</t>
  </si>
  <si>
    <t>MADWEC Device R-value ( earning rate)</t>
  </si>
  <si>
    <t>Electrical Infrastructure R-value (learning rate)</t>
  </si>
  <si>
    <t>Remaining BOS Cost</t>
  </si>
  <si>
    <t>Electrical Infrastructure</t>
  </si>
  <si>
    <r>
      <t>MADWEC (</t>
    </r>
    <r>
      <rPr>
        <b/>
        <i/>
        <sz val="14"/>
        <color theme="1"/>
        <rFont val="Calibri"/>
        <family val="2"/>
        <scheme val="minor"/>
      </rPr>
      <t>array, one year</t>
    </r>
    <r>
      <rPr>
        <b/>
        <sz val="14"/>
        <color theme="1"/>
        <rFont val="Calibri"/>
        <family val="2"/>
        <scheme val="minor"/>
      </rPr>
      <t>)</t>
    </r>
  </si>
  <si>
    <t>O&amp;M R-value (array scaling learning rate)</t>
  </si>
  <si>
    <r>
      <rPr>
        <b/>
        <sz val="11"/>
        <color theme="1"/>
        <rFont val="Calibri"/>
        <family val="2"/>
        <scheme val="minor"/>
      </rPr>
      <t>Note:</t>
    </r>
    <r>
      <rPr>
        <sz val="11"/>
        <color theme="1"/>
        <rFont val="Calibri"/>
        <family val="2"/>
        <scheme val="minor"/>
      </rPr>
      <t xml:space="preserve">
The "Location Information", "Scenario Information", and "Vessel Information" input tables are repeated from the MADWEC Installation tab. The input tables are linked to the MADWEC Installation tab so the user only needs to input the information once. If the user wants to override this, unprotect the tab and unlock the cells you wish to write over.</t>
    </r>
  </si>
  <si>
    <t>MADWEC (AUV scenario)</t>
  </si>
  <si>
    <t>MADWEC  
(Remote Monitoring scenario)</t>
  </si>
  <si>
    <t>Solar Buoy (AUV scenario)</t>
  </si>
  <si>
    <t>Batteries (AUV scenario)</t>
  </si>
  <si>
    <t>Solar Buoy (Remote Monitoring scenario)</t>
  </si>
  <si>
    <t>Batteries (Remote Monitoring scenario)</t>
  </si>
  <si>
    <t>Total CapEx (excluding end-use cost)</t>
  </si>
  <si>
    <t>MADWEC (device only)</t>
  </si>
  <si>
    <t>Total Installation Costs (excluding end-use install)</t>
  </si>
  <si>
    <t>Total Installation Costs (excluding end-use)</t>
  </si>
  <si>
    <t>Total O&amp;M Costs (excluding end-use)</t>
  </si>
  <si>
    <t xml:space="preserve">Total CapEx + Install + O&amp;M (1 year) </t>
  </si>
  <si>
    <t>These cost values DO NOT include the cost of the end-uses (AUV and monitoring system).</t>
  </si>
  <si>
    <t>Total Installation Costs (excluding end-use costs)</t>
  </si>
  <si>
    <t xml:space="preserve">Note: 
Because the number of batteries required in the array is low, Installation of the array can likely  be done within a short time frame. Installation costs were not scaled using array scaling. Instead, the times required for installation can be adjusted in the "Installation Time" input table. . </t>
  </si>
  <si>
    <t>Total Installation Costs (including end-use install)</t>
  </si>
  <si>
    <t>Total Installation Costs (including end-use costs)</t>
  </si>
  <si>
    <t>Total Installation Costs (excluding end-uses)</t>
  </si>
  <si>
    <t>Total Installation Costs (including end-uses)</t>
  </si>
  <si>
    <t>These cost values do  include the cost of the end-uses (AUV and monitoring system).</t>
  </si>
  <si>
    <t>Single Device (excluding end-use)</t>
  </si>
  <si>
    <t>Single Device (including end-use)</t>
  </si>
  <si>
    <t xml:space="preserve">Total O&amp;M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</si>
</sst>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quot;$&quot;#,##0.00"/>
    <numFmt numFmtId="165" formatCode="&quot;$&quot;#,##0"/>
    <numFmt numFmtId="166" formatCode="0.0"/>
    <numFmt numFmtId="167" formatCode="0.000"/>
    <numFmt numFmtId="168" formatCode="0.0000"/>
    <numFmt numFmtId="169" formatCode="0.00000"/>
  </numFmts>
  <fonts count="46"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sz val="18"/>
      <color theme="1"/>
      <name val="Calibri"/>
      <family val="2"/>
      <scheme val="minor"/>
    </font>
    <font>
      <b/>
      <sz val="12"/>
      <color theme="1"/>
      <name val="Calibri"/>
      <family val="2"/>
      <scheme val="minor"/>
    </font>
    <font>
      <sz val="11"/>
      <color theme="0"/>
      <name val="Calibri"/>
      <family val="2"/>
      <scheme val="minor"/>
    </font>
    <font>
      <sz val="11"/>
      <color theme="1"/>
      <name val="Calibri"/>
      <family val="2"/>
    </font>
    <font>
      <u/>
      <sz val="11"/>
      <color theme="10"/>
      <name val="Calibri"/>
      <family val="2"/>
      <scheme val="minor"/>
    </font>
    <font>
      <sz val="8"/>
      <name val="Calibri"/>
      <family val="2"/>
      <scheme val="minor"/>
    </font>
    <font>
      <b/>
      <i/>
      <sz val="12"/>
      <color theme="1"/>
      <name val="Calibri"/>
      <family val="2"/>
      <scheme val="minor"/>
    </font>
    <font>
      <b/>
      <i/>
      <sz val="11"/>
      <color rgb="FF000000"/>
      <name val="Calibri"/>
      <family val="2"/>
      <scheme val="minor"/>
    </font>
    <font>
      <sz val="11"/>
      <name val="Calibri"/>
      <family val="2"/>
      <scheme val="minor"/>
    </font>
    <font>
      <sz val="10"/>
      <name val="Arial"/>
      <family val="2"/>
    </font>
    <font>
      <b/>
      <sz val="14"/>
      <color theme="0"/>
      <name val="Calibri"/>
      <family val="2"/>
      <scheme val="minor"/>
    </font>
    <font>
      <b/>
      <sz val="18"/>
      <color theme="0" tint="-0.14999847407452621"/>
      <name val="Calibri"/>
      <family val="2"/>
      <scheme val="minor"/>
    </font>
    <font>
      <b/>
      <sz val="14"/>
      <color theme="1"/>
      <name val="Calibri"/>
      <family val="2"/>
      <scheme val="minor"/>
    </font>
    <font>
      <b/>
      <sz val="14"/>
      <name val="Calibri"/>
      <family val="2"/>
      <scheme val="minor"/>
    </font>
    <font>
      <sz val="14"/>
      <color theme="1"/>
      <name val="Calibri"/>
      <family val="2"/>
      <scheme val="minor"/>
    </font>
    <font>
      <i/>
      <sz val="12"/>
      <color theme="1"/>
      <name val="Calibri"/>
      <family val="2"/>
      <scheme val="minor"/>
    </font>
    <font>
      <i/>
      <sz val="12"/>
      <name val="Calibri"/>
      <family val="2"/>
      <scheme val="minor"/>
    </font>
    <font>
      <b/>
      <i/>
      <sz val="12"/>
      <name val="Calibri"/>
      <family val="2"/>
      <scheme val="minor"/>
    </font>
    <font>
      <sz val="14"/>
      <color theme="0"/>
      <name val="Calibri"/>
      <family val="2"/>
      <scheme val="minor"/>
    </font>
    <font>
      <b/>
      <i/>
      <sz val="11"/>
      <name val="Calibri"/>
      <family val="2"/>
      <scheme val="minor"/>
    </font>
    <font>
      <u/>
      <sz val="11"/>
      <color theme="0"/>
      <name val="Calibri"/>
      <family val="2"/>
      <scheme val="minor"/>
    </font>
    <font>
      <b/>
      <sz val="11"/>
      <color theme="0"/>
      <name val="Calibri"/>
      <family val="2"/>
      <scheme val="minor"/>
    </font>
    <font>
      <i/>
      <sz val="11"/>
      <color theme="1"/>
      <name val="Calibri"/>
      <family val="2"/>
      <scheme val="minor"/>
    </font>
    <font>
      <i/>
      <sz val="11"/>
      <color theme="0"/>
      <name val="Calibri"/>
      <family val="2"/>
      <scheme val="minor"/>
    </font>
    <font>
      <sz val="11"/>
      <color theme="1"/>
      <name val="Calibri (Body)"/>
    </font>
    <font>
      <b/>
      <i/>
      <sz val="14"/>
      <color theme="1"/>
      <name val="Calibri"/>
      <family val="2"/>
      <scheme val="minor"/>
    </font>
    <font>
      <u/>
      <sz val="11"/>
      <color theme="1"/>
      <name val="Calibri"/>
      <family val="2"/>
      <scheme val="minor"/>
    </font>
    <font>
      <b/>
      <sz val="12"/>
      <name val="Calibri"/>
      <family val="2"/>
      <scheme val="minor"/>
    </font>
    <font>
      <sz val="12"/>
      <name val="Calibri"/>
      <family val="2"/>
      <scheme val="minor"/>
    </font>
    <font>
      <u/>
      <sz val="11"/>
      <name val="Calibri"/>
      <family val="2"/>
      <scheme val="minor"/>
    </font>
    <font>
      <sz val="11"/>
      <color rgb="FF000000"/>
      <name val="Calibri"/>
      <family val="2"/>
      <scheme val="minor"/>
    </font>
    <font>
      <sz val="11"/>
      <color theme="8" tint="0.59999389629810485"/>
      <name val="Calibri"/>
      <family val="2"/>
      <scheme val="minor"/>
    </font>
    <font>
      <b/>
      <sz val="11"/>
      <color rgb="FF000000"/>
      <name val="Calibri"/>
      <family val="2"/>
      <scheme val="minor"/>
    </font>
    <font>
      <b/>
      <sz val="16"/>
      <color theme="1"/>
      <name val="Calibri"/>
      <family val="2"/>
      <scheme val="minor"/>
    </font>
    <font>
      <b/>
      <i/>
      <sz val="16"/>
      <color theme="1"/>
      <name val="Calibri"/>
      <family val="2"/>
      <scheme val="minor"/>
    </font>
    <font>
      <i/>
      <sz val="14"/>
      <color theme="1"/>
      <name val="Calibri"/>
      <family val="2"/>
      <scheme val="minor"/>
    </font>
    <font>
      <b/>
      <sz val="12"/>
      <color rgb="FFFF0000"/>
      <name val="Calibri (Body)"/>
    </font>
  </fonts>
  <fills count="1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EB3B5"/>
        <bgColor indexed="64"/>
      </patternFill>
    </fill>
    <fill>
      <patternFill patternType="solid">
        <fgColor rgb="FFF7E0E0"/>
        <bgColor indexed="64"/>
      </patternFill>
    </fill>
    <fill>
      <patternFill patternType="solid">
        <fgColor theme="2" tint="-9.9978637043366805E-2"/>
        <bgColor indexed="64"/>
      </patternFill>
    </fill>
    <fill>
      <patternFill patternType="solid">
        <fgColor theme="1"/>
        <bgColor indexed="64"/>
      </patternFill>
    </fill>
    <fill>
      <patternFill patternType="solid">
        <fgColor rgb="FFF7E0E0"/>
        <bgColor rgb="FF000000"/>
      </patternFill>
    </fill>
    <fill>
      <patternFill patternType="solid">
        <fgColor theme="8"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0"/>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thin">
        <color indexed="64"/>
      </left>
      <right style="medium">
        <color theme="1"/>
      </right>
      <top/>
      <bottom/>
      <diagonal/>
    </border>
    <border>
      <left style="medium">
        <color theme="1"/>
      </left>
      <right/>
      <top/>
      <bottom style="medium">
        <color theme="1"/>
      </bottom>
      <diagonal/>
    </border>
    <border>
      <left/>
      <right/>
      <top/>
      <bottom style="medium">
        <color theme="1"/>
      </bottom>
      <diagonal/>
    </border>
    <border>
      <left/>
      <right style="thin">
        <color indexed="64"/>
      </right>
      <top/>
      <bottom style="medium">
        <color theme="1"/>
      </bottom>
      <diagonal/>
    </border>
    <border>
      <left/>
      <right style="medium">
        <color theme="1"/>
      </right>
      <top/>
      <bottom style="medium">
        <color theme="1"/>
      </bottom>
      <diagonal/>
    </border>
    <border>
      <left style="medium">
        <color indexed="64"/>
      </left>
      <right style="medium">
        <color theme="1"/>
      </right>
      <top style="thin">
        <color indexed="64"/>
      </top>
      <bottom style="thin">
        <color indexed="64"/>
      </bottom>
      <diagonal/>
    </border>
    <border>
      <left/>
      <right/>
      <top style="thin">
        <color indexed="64"/>
      </top>
      <bottom style="medium">
        <color theme="1"/>
      </bottom>
      <diagonal/>
    </border>
    <border>
      <left style="medium">
        <color indexed="64"/>
      </left>
      <right style="medium">
        <color theme="1"/>
      </right>
      <top style="thin">
        <color indexed="64"/>
      </top>
      <bottom style="medium">
        <color theme="1"/>
      </bottom>
      <diagonal/>
    </border>
    <border>
      <left/>
      <right style="medium">
        <color indexed="64"/>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theme="1"/>
      </left>
      <right style="thin">
        <color theme="1"/>
      </right>
      <top/>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style="thin">
        <color theme="1"/>
      </left>
      <right style="thin">
        <color theme="1"/>
      </right>
      <top style="thin">
        <color indexed="64"/>
      </top>
      <bottom style="medium">
        <color indexed="64"/>
      </bottom>
      <diagonal/>
    </border>
    <border>
      <left style="thin">
        <color theme="1"/>
      </left>
      <right style="medium">
        <color indexed="64"/>
      </right>
      <top style="thin">
        <color indexed="64"/>
      </top>
      <bottom style="medium">
        <color indexed="64"/>
      </bottom>
      <diagonal/>
    </border>
    <border>
      <left style="thin">
        <color theme="1"/>
      </left>
      <right style="thin">
        <color theme="1"/>
      </right>
      <top/>
      <bottom/>
      <diagonal/>
    </border>
    <border>
      <left style="thin">
        <color theme="1"/>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theme="1"/>
      </right>
      <top/>
      <bottom style="thin">
        <color indexed="64"/>
      </bottom>
      <diagonal/>
    </border>
    <border>
      <left style="thin">
        <color theme="1"/>
      </left>
      <right style="thin">
        <color theme="1"/>
      </right>
      <top style="thin">
        <color indexed="64"/>
      </top>
      <bottom/>
      <diagonal/>
    </border>
    <border>
      <left style="thin">
        <color theme="1"/>
      </left>
      <right style="medium">
        <color indexed="64"/>
      </right>
      <top style="thin">
        <color indexed="64"/>
      </top>
      <bottom/>
      <diagonal/>
    </border>
    <border>
      <left style="medium">
        <color indexed="64"/>
      </left>
      <right style="medium">
        <color theme="1"/>
      </right>
      <top style="medium">
        <color indexed="64"/>
      </top>
      <bottom style="thin">
        <color indexed="64"/>
      </bottom>
      <diagonal/>
    </border>
    <border>
      <left style="medium">
        <color indexed="64"/>
      </left>
      <right style="medium">
        <color theme="1"/>
      </right>
      <top style="thin">
        <color indexed="64"/>
      </top>
      <bottom style="medium">
        <color indexed="64"/>
      </bottom>
      <diagonal/>
    </border>
  </borders>
  <cellStyleXfs count="6">
    <xf numFmtId="0" fontId="0" fillId="0" borderId="0"/>
    <xf numFmtId="44" fontId="5" fillId="0" borderId="0" applyFont="0" applyFill="0" applyBorder="0" applyAlignment="0" applyProtection="0"/>
    <xf numFmtId="0" fontId="13" fillId="0" borderId="0" applyNumberFormat="0" applyFill="0" applyBorder="0" applyAlignment="0" applyProtection="0"/>
    <xf numFmtId="0" fontId="18" fillId="0" borderId="0"/>
    <xf numFmtId="0" fontId="4" fillId="0" borderId="0"/>
    <xf numFmtId="9" fontId="5" fillId="0" borderId="0" applyFont="0" applyFill="0" applyBorder="0" applyAlignment="0" applyProtection="0"/>
  </cellStyleXfs>
  <cellXfs count="1150">
    <xf numFmtId="0" fontId="0" fillId="0" borderId="0" xfId="0"/>
    <xf numFmtId="0" fontId="0" fillId="8" borderId="0" xfId="0" applyFill="1"/>
    <xf numFmtId="0" fontId="0" fillId="0" borderId="0" xfId="0" applyAlignment="1">
      <alignment horizontal="center" vertical="center"/>
    </xf>
    <xf numFmtId="2" fontId="0" fillId="0" borderId="0" xfId="0" applyNumberFormat="1" applyAlignment="1">
      <alignment horizontal="center" vertical="center"/>
    </xf>
    <xf numFmtId="0" fontId="10" fillId="8" borderId="0" xfId="0" applyFont="1" applyFill="1"/>
    <xf numFmtId="0" fontId="6" fillId="8" borderId="0" xfId="0" applyFont="1" applyFill="1" applyAlignment="1">
      <alignment horizontal="center" vertical="center"/>
    </xf>
    <xf numFmtId="1" fontId="0" fillId="9" borderId="16" xfId="0" applyNumberFormat="1" applyFill="1" applyBorder="1" applyAlignment="1">
      <alignment horizontal="center" vertical="center"/>
    </xf>
    <xf numFmtId="165" fontId="0" fillId="9" borderId="18" xfId="0" applyNumberFormat="1" applyFill="1" applyBorder="1" applyAlignment="1">
      <alignment horizontal="center" vertical="center"/>
    </xf>
    <xf numFmtId="165" fontId="0" fillId="9" borderId="18" xfId="1" applyNumberFormat="1" applyFont="1" applyFill="1" applyBorder="1" applyAlignment="1">
      <alignment horizontal="center" vertical="center"/>
    </xf>
    <xf numFmtId="0" fontId="0" fillId="9" borderId="16" xfId="0" applyFill="1" applyBorder="1" applyAlignment="1">
      <alignment horizontal="center" vertical="center"/>
    </xf>
    <xf numFmtId="0" fontId="0" fillId="0" borderId="13" xfId="0" applyBorder="1" applyAlignment="1">
      <alignment horizontal="center" vertical="center"/>
    </xf>
    <xf numFmtId="0" fontId="0" fillId="9" borderId="0" xfId="0" applyFill="1" applyAlignment="1">
      <alignment horizontal="center" vertical="center"/>
    </xf>
    <xf numFmtId="0" fontId="9" fillId="8" borderId="0" xfId="0" applyFont="1" applyFill="1" applyAlignment="1">
      <alignment vertical="center" textRotation="90"/>
    </xf>
    <xf numFmtId="165" fontId="7" fillId="8" borderId="0" xfId="0" applyNumberFormat="1" applyFont="1" applyFill="1" applyAlignment="1">
      <alignment horizontal="center" vertical="center"/>
    </xf>
    <xf numFmtId="0" fontId="9" fillId="8" borderId="0" xfId="0" applyFont="1" applyFill="1" applyAlignment="1">
      <alignment horizontal="center" vertical="center" textRotation="90"/>
    </xf>
    <xf numFmtId="0" fontId="7" fillId="11" borderId="0" xfId="0" applyFont="1" applyFill="1" applyAlignment="1">
      <alignment horizontal="right" vertical="center"/>
    </xf>
    <xf numFmtId="165" fontId="0" fillId="9" borderId="0" xfId="0" applyNumberFormat="1" applyFill="1" applyAlignment="1">
      <alignment horizontal="center" vertical="center"/>
    </xf>
    <xf numFmtId="165" fontId="7" fillId="9" borderId="9" xfId="0" applyNumberFormat="1" applyFont="1" applyFill="1" applyBorder="1" applyAlignment="1">
      <alignment vertical="center"/>
    </xf>
    <xf numFmtId="165" fontId="0" fillId="8" borderId="0" xfId="0" applyNumberFormat="1" applyFill="1" applyAlignment="1">
      <alignment horizontal="center" vertical="center"/>
    </xf>
    <xf numFmtId="165" fontId="0" fillId="8" borderId="0" xfId="1" applyNumberFormat="1" applyFont="1" applyFill="1" applyBorder="1" applyAlignment="1">
      <alignment horizontal="center" vertical="center"/>
    </xf>
    <xf numFmtId="164" fontId="0" fillId="8" borderId="0" xfId="0" applyNumberFormat="1" applyFill="1"/>
    <xf numFmtId="165" fontId="7" fillId="8" borderId="0" xfId="0" applyNumberFormat="1" applyFont="1" applyFill="1" applyAlignment="1">
      <alignment vertical="center"/>
    </xf>
    <xf numFmtId="0" fontId="6" fillId="12" borderId="16" xfId="0" applyFont="1" applyFill="1" applyBorder="1" applyAlignment="1">
      <alignment horizontal="center" vertical="center"/>
    </xf>
    <xf numFmtId="0" fontId="6" fillId="12" borderId="0" xfId="0" applyFont="1" applyFill="1" applyAlignment="1">
      <alignment horizontal="center" vertical="center"/>
    </xf>
    <xf numFmtId="0" fontId="6" fillId="12" borderId="31" xfId="0" applyFont="1" applyFill="1" applyBorder="1" applyAlignment="1">
      <alignment horizontal="center" vertical="center"/>
    </xf>
    <xf numFmtId="0" fontId="6" fillId="12" borderId="15" xfId="0" applyFont="1" applyFill="1" applyBorder="1" applyAlignment="1">
      <alignment horizontal="center" vertical="center"/>
    </xf>
    <xf numFmtId="0" fontId="6" fillId="12" borderId="8" xfId="0" applyFont="1" applyFill="1" applyBorder="1" applyAlignment="1">
      <alignment horizontal="center" vertical="center"/>
    </xf>
    <xf numFmtId="0" fontId="0" fillId="9" borderId="16" xfId="0" applyFill="1" applyBorder="1" applyAlignment="1">
      <alignment vertical="center"/>
    </xf>
    <xf numFmtId="0" fontId="0" fillId="9" borderId="0" xfId="0" applyFill="1" applyAlignment="1">
      <alignment vertical="center"/>
    </xf>
    <xf numFmtId="165" fontId="7" fillId="9" borderId="13" xfId="0" applyNumberFormat="1" applyFont="1" applyFill="1" applyBorder="1" applyAlignment="1">
      <alignment vertical="center"/>
    </xf>
    <xf numFmtId="165" fontId="7" fillId="9" borderId="0" xfId="0" applyNumberFormat="1" applyFont="1" applyFill="1" applyAlignment="1">
      <alignment vertical="center"/>
    </xf>
    <xf numFmtId="165" fontId="0" fillId="9" borderId="16" xfId="0" applyNumberFormat="1" applyFill="1" applyBorder="1" applyAlignment="1">
      <alignment horizontal="center" vertical="center"/>
    </xf>
    <xf numFmtId="0" fontId="6" fillId="12" borderId="18" xfId="0" applyFont="1" applyFill="1" applyBorder="1" applyAlignment="1">
      <alignment horizontal="center" vertical="center"/>
    </xf>
    <xf numFmtId="165" fontId="7" fillId="11" borderId="11" xfId="0" applyNumberFormat="1" applyFont="1" applyFill="1" applyBorder="1" applyAlignment="1">
      <alignment horizontal="center" vertical="center"/>
    </xf>
    <xf numFmtId="0" fontId="6" fillId="12" borderId="20" xfId="0" applyFont="1" applyFill="1" applyBorder="1" applyAlignment="1">
      <alignment horizontal="center" vertical="center"/>
    </xf>
    <xf numFmtId="165" fontId="7" fillId="11" borderId="10" xfId="0" applyNumberFormat="1" applyFont="1" applyFill="1" applyBorder="1" applyAlignment="1">
      <alignment horizontal="center" vertical="center"/>
    </xf>
    <xf numFmtId="165" fontId="0" fillId="9" borderId="10" xfId="0" applyNumberFormat="1" applyFill="1" applyBorder="1" applyAlignment="1">
      <alignment horizontal="center" vertical="center"/>
    </xf>
    <xf numFmtId="165" fontId="7" fillId="11" borderId="14" xfId="0" applyNumberFormat="1" applyFont="1" applyFill="1" applyBorder="1" applyAlignment="1">
      <alignment horizontal="center" vertical="center"/>
    </xf>
    <xf numFmtId="0" fontId="6" fillId="8" borderId="0" xfId="0" applyFont="1" applyFill="1" applyAlignment="1">
      <alignment vertical="center" wrapText="1"/>
    </xf>
    <xf numFmtId="0" fontId="0" fillId="9" borderId="29" xfId="0" applyFill="1" applyBorder="1" applyAlignment="1">
      <alignment vertical="center"/>
    </xf>
    <xf numFmtId="0" fontId="0" fillId="9" borderId="16" xfId="0" applyFill="1" applyBorder="1" applyAlignment="1">
      <alignment horizontal="left" vertical="center"/>
    </xf>
    <xf numFmtId="0" fontId="0" fillId="9" borderId="0" xfId="0" applyFill="1" applyAlignment="1">
      <alignment horizontal="left" vertical="center"/>
    </xf>
    <xf numFmtId="0" fontId="0" fillId="9" borderId="13" xfId="0" applyFill="1" applyBorder="1" applyAlignment="1">
      <alignment vertical="center"/>
    </xf>
    <xf numFmtId="0" fontId="7" fillId="11" borderId="13" xfId="0" applyFont="1" applyFill="1" applyBorder="1" applyAlignment="1">
      <alignment horizontal="right" vertical="center"/>
    </xf>
    <xf numFmtId="2" fontId="0" fillId="0" borderId="13" xfId="0" applyNumberFormat="1" applyBorder="1" applyAlignment="1">
      <alignment horizontal="center" vertical="center"/>
    </xf>
    <xf numFmtId="2" fontId="0" fillId="9" borderId="16" xfId="0" applyNumberFormat="1" applyFill="1" applyBorder="1" applyAlignment="1">
      <alignment horizontal="center" vertical="center"/>
    </xf>
    <xf numFmtId="2" fontId="0" fillId="9" borderId="0" xfId="0" applyNumberFormat="1" applyFill="1" applyAlignment="1">
      <alignment horizontal="center" vertical="center"/>
    </xf>
    <xf numFmtId="2" fontId="0" fillId="0" borderId="16" xfId="0" applyNumberFormat="1" applyBorder="1" applyAlignment="1">
      <alignment horizontal="center" vertical="center"/>
    </xf>
    <xf numFmtId="0" fontId="0" fillId="8" borderId="0" xfId="0" applyFill="1" applyAlignment="1">
      <alignment horizontal="right"/>
    </xf>
    <xf numFmtId="0" fontId="0" fillId="8" borderId="0" xfId="0" applyFill="1" applyAlignment="1">
      <alignment horizontal="right" vertical="center"/>
    </xf>
    <xf numFmtId="0" fontId="7" fillId="8" borderId="0" xfId="0" applyFont="1" applyFill="1" applyAlignment="1">
      <alignment horizontal="right"/>
    </xf>
    <xf numFmtId="2" fontId="0" fillId="8" borderId="0" xfId="0" applyNumberFormat="1" applyFill="1" applyAlignment="1">
      <alignment horizontal="center" vertical="center"/>
    </xf>
    <xf numFmtId="0" fontId="0" fillId="8" borderId="0" xfId="0" applyFill="1" applyAlignment="1">
      <alignment horizontal="left" vertical="center"/>
    </xf>
    <xf numFmtId="2" fontId="0" fillId="0" borderId="8" xfId="0" applyNumberFormat="1" applyBorder="1" applyAlignment="1">
      <alignment horizontal="center" vertical="center"/>
    </xf>
    <xf numFmtId="165" fontId="0" fillId="9" borderId="16" xfId="1" applyNumberFormat="1" applyFont="1" applyFill="1" applyBorder="1" applyAlignment="1">
      <alignment horizontal="center" vertical="center"/>
    </xf>
    <xf numFmtId="0" fontId="0" fillId="9" borderId="18" xfId="0" applyFill="1" applyBorder="1" applyAlignment="1">
      <alignment horizontal="center" vertical="center"/>
    </xf>
    <xf numFmtId="0" fontId="0" fillId="0" borderId="16" xfId="0" applyBorder="1" applyAlignment="1">
      <alignment horizontal="left" vertical="center"/>
    </xf>
    <xf numFmtId="0" fontId="0" fillId="9" borderId="44" xfId="0" applyFill="1" applyBorder="1" applyAlignment="1">
      <alignment vertical="center"/>
    </xf>
    <xf numFmtId="0" fontId="0" fillId="9" borderId="10" xfId="0" applyFill="1" applyBorder="1" applyAlignment="1">
      <alignment horizontal="center" vertical="center"/>
    </xf>
    <xf numFmtId="0" fontId="6" fillId="8" borderId="0" xfId="0" applyFont="1" applyFill="1" applyAlignment="1">
      <alignment horizontal="center"/>
    </xf>
    <xf numFmtId="0" fontId="0" fillId="8" borderId="0" xfId="0" applyFill="1" applyAlignment="1">
      <alignment horizontal="center" vertical="center"/>
    </xf>
    <xf numFmtId="0" fontId="0" fillId="8" borderId="0" xfId="0" applyFill="1" applyAlignment="1">
      <alignment horizontal="center"/>
    </xf>
    <xf numFmtId="0" fontId="0" fillId="8" borderId="0" xfId="0" applyFill="1" applyAlignment="1">
      <alignment horizontal="left"/>
    </xf>
    <xf numFmtId="2" fontId="0" fillId="0" borderId="10" xfId="0" applyNumberFormat="1" applyBorder="1" applyAlignment="1">
      <alignment horizontal="center" vertical="center"/>
    </xf>
    <xf numFmtId="164" fontId="0" fillId="9" borderId="16" xfId="0" applyNumberFormat="1" applyFill="1" applyBorder="1" applyAlignment="1">
      <alignment horizontal="center" vertical="center"/>
    </xf>
    <xf numFmtId="0" fontId="10" fillId="8" borderId="0" xfId="0" applyFont="1" applyFill="1" applyAlignment="1">
      <alignment horizontal="center"/>
    </xf>
    <xf numFmtId="164" fontId="0" fillId="9" borderId="16" xfId="1" applyNumberFormat="1" applyFont="1" applyFill="1" applyBorder="1" applyAlignment="1">
      <alignment horizontal="center" vertical="center"/>
    </xf>
    <xf numFmtId="0" fontId="16" fillId="14" borderId="13" xfId="0" applyFont="1" applyFill="1" applyBorder="1" applyAlignment="1">
      <alignment horizontal="right" vertical="center"/>
    </xf>
    <xf numFmtId="0" fontId="6" fillId="8" borderId="0" xfId="0" applyFont="1" applyFill="1" applyAlignment="1">
      <alignment horizontal="center" vertical="center" wrapText="1"/>
    </xf>
    <xf numFmtId="0" fontId="0" fillId="8" borderId="0" xfId="0" applyFill="1" applyAlignment="1">
      <alignment vertical="center"/>
    </xf>
    <xf numFmtId="0" fontId="7" fillId="8" borderId="0" xfId="0" applyFont="1" applyFill="1" applyAlignment="1">
      <alignment horizontal="right" vertical="center"/>
    </xf>
    <xf numFmtId="0" fontId="11" fillId="9" borderId="13" xfId="0" applyFont="1" applyFill="1" applyBorder="1" applyAlignment="1">
      <alignment vertical="center"/>
    </xf>
    <xf numFmtId="0" fontId="6" fillId="12" borderId="45" xfId="0" applyFont="1" applyFill="1" applyBorder="1" applyAlignment="1">
      <alignment horizontal="center" vertical="center"/>
    </xf>
    <xf numFmtId="0" fontId="6" fillId="12" borderId="4" xfId="0" applyFont="1" applyFill="1" applyBorder="1" applyAlignment="1">
      <alignment horizontal="center" vertical="center"/>
    </xf>
    <xf numFmtId="0" fontId="11" fillId="9" borderId="44" xfId="0" applyFont="1" applyFill="1" applyBorder="1" applyAlignment="1">
      <alignment vertical="center"/>
    </xf>
    <xf numFmtId="0" fontId="6" fillId="12" borderId="3" xfId="0" applyFont="1" applyFill="1" applyBorder="1" applyAlignment="1">
      <alignment horizontal="center" vertical="center"/>
    </xf>
    <xf numFmtId="0" fontId="6" fillId="12" borderId="46" xfId="0" applyFont="1" applyFill="1" applyBorder="1" applyAlignment="1">
      <alignment horizontal="center" vertical="center"/>
    </xf>
    <xf numFmtId="0" fontId="6" fillId="12" borderId="48" xfId="0" applyFont="1" applyFill="1" applyBorder="1" applyAlignment="1">
      <alignment horizontal="center" vertical="center"/>
    </xf>
    <xf numFmtId="0" fontId="6" fillId="12" borderId="49" xfId="0" applyFont="1" applyFill="1" applyBorder="1" applyAlignment="1">
      <alignment horizontal="center" vertical="center"/>
    </xf>
    <xf numFmtId="164" fontId="0" fillId="9" borderId="0" xfId="0" applyNumberFormat="1" applyFill="1" applyAlignment="1">
      <alignment horizontal="center" vertical="center"/>
    </xf>
    <xf numFmtId="166" fontId="0" fillId="8" borderId="0" xfId="0" applyNumberFormat="1" applyFill="1" applyAlignment="1">
      <alignment horizontal="center" vertical="center"/>
    </xf>
    <xf numFmtId="0" fontId="0" fillId="9" borderId="13" xfId="0" applyFill="1" applyBorder="1" applyAlignment="1">
      <alignment horizontal="center" vertical="center"/>
    </xf>
    <xf numFmtId="165" fontId="7" fillId="8" borderId="0" xfId="0" applyNumberFormat="1" applyFont="1" applyFill="1" applyAlignment="1">
      <alignment horizontal="center"/>
    </xf>
    <xf numFmtId="0" fontId="0" fillId="9" borderId="44" xfId="0" applyFill="1" applyBorder="1"/>
    <xf numFmtId="0" fontId="0" fillId="9" borderId="16" xfId="0" applyFill="1" applyBorder="1"/>
    <xf numFmtId="0" fontId="0" fillId="9" borderId="13" xfId="0" applyFill="1" applyBorder="1"/>
    <xf numFmtId="165" fontId="7" fillId="11" borderId="14" xfId="0" applyNumberFormat="1" applyFont="1" applyFill="1" applyBorder="1" applyAlignment="1">
      <alignment horizontal="center"/>
    </xf>
    <xf numFmtId="0" fontId="20" fillId="8" borderId="0" xfId="0" applyFont="1" applyFill="1" applyAlignment="1">
      <alignment vertical="center" textRotation="90"/>
    </xf>
    <xf numFmtId="0" fontId="0" fillId="8" borderId="0" xfId="0" applyFill="1" applyAlignment="1">
      <alignment wrapText="1"/>
    </xf>
    <xf numFmtId="0" fontId="11" fillId="8" borderId="0" xfId="0" applyFont="1" applyFill="1"/>
    <xf numFmtId="0" fontId="23" fillId="8" borderId="0" xfId="0" applyFont="1" applyFill="1"/>
    <xf numFmtId="0" fontId="17" fillId="8" borderId="0" xfId="0" applyFont="1" applyFill="1" applyAlignment="1">
      <alignment vertical="center"/>
    </xf>
    <xf numFmtId="0" fontId="0" fillId="8" borderId="0" xfId="0" applyFill="1" applyAlignment="1">
      <alignment vertical="center" wrapText="1"/>
    </xf>
    <xf numFmtId="0" fontId="7" fillId="11" borderId="13" xfId="0" applyFont="1" applyFill="1" applyBorder="1" applyAlignment="1">
      <alignment horizontal="right"/>
    </xf>
    <xf numFmtId="0" fontId="10" fillId="8" borderId="0" xfId="0" applyFont="1" applyFill="1" applyAlignment="1">
      <alignment vertical="center"/>
    </xf>
    <xf numFmtId="0" fontId="17" fillId="8" borderId="0" xfId="0" applyFont="1" applyFill="1"/>
    <xf numFmtId="0" fontId="24" fillId="8" borderId="0" xfId="0" applyFont="1" applyFill="1" applyAlignment="1">
      <alignment horizontal="right" vertical="center" wrapText="1"/>
    </xf>
    <xf numFmtId="165" fontId="25" fillId="8" borderId="0" xfId="0" applyNumberFormat="1" applyFont="1" applyFill="1" applyAlignment="1">
      <alignment horizontal="center" vertical="center"/>
    </xf>
    <xf numFmtId="0" fontId="19" fillId="8" borderId="0" xfId="0" applyFont="1" applyFill="1" applyAlignment="1">
      <alignment horizontal="center" vertical="center" wrapText="1"/>
    </xf>
    <xf numFmtId="0" fontId="19" fillId="8" borderId="0" xfId="0" applyFont="1" applyFill="1" applyAlignment="1">
      <alignment vertical="center" wrapText="1"/>
    </xf>
    <xf numFmtId="165" fontId="28" fillId="11" borderId="14" xfId="0" applyNumberFormat="1" applyFont="1" applyFill="1" applyBorder="1" applyAlignment="1">
      <alignment horizontal="center" vertical="center" wrapText="1"/>
    </xf>
    <xf numFmtId="0" fontId="7" fillId="0" borderId="13" xfId="0" applyFont="1" applyBorder="1" applyAlignment="1">
      <alignment horizontal="right" vertical="center"/>
    </xf>
    <xf numFmtId="0" fontId="27" fillId="8" borderId="0" xfId="0" applyFont="1" applyFill="1" applyAlignment="1">
      <alignment horizontal="center" vertical="center"/>
    </xf>
    <xf numFmtId="0" fontId="8" fillId="8" borderId="0" xfId="0" applyFont="1" applyFill="1" applyAlignment="1">
      <alignment horizontal="center" vertical="center"/>
    </xf>
    <xf numFmtId="165" fontId="0" fillId="8" borderId="0" xfId="1" applyNumberFormat="1" applyFont="1" applyFill="1" applyBorder="1" applyAlignment="1">
      <alignment horizontal="left" vertical="center" wrapText="1"/>
    </xf>
    <xf numFmtId="165" fontId="17" fillId="8" borderId="0" xfId="0" applyNumberFormat="1" applyFont="1" applyFill="1" applyAlignment="1">
      <alignment horizontal="center" vertical="center"/>
    </xf>
    <xf numFmtId="0" fontId="15" fillId="8" borderId="0" xfId="0" applyFont="1" applyFill="1" applyAlignment="1">
      <alignment horizontal="right" vertical="center" wrapText="1"/>
    </xf>
    <xf numFmtId="0" fontId="7" fillId="8" borderId="0" xfId="0" applyFont="1" applyFill="1" applyAlignment="1">
      <alignment vertical="center"/>
    </xf>
    <xf numFmtId="165" fontId="0" fillId="9" borderId="10" xfId="0" applyNumberFormat="1" applyFill="1" applyBorder="1" applyAlignment="1">
      <alignment horizontal="center" vertical="center" wrapText="1"/>
    </xf>
    <xf numFmtId="0" fontId="17" fillId="9" borderId="13" xfId="0" applyFont="1" applyFill="1" applyBorder="1" applyAlignment="1">
      <alignment vertical="center"/>
    </xf>
    <xf numFmtId="0" fontId="6" fillId="8" borderId="0" xfId="0" applyFont="1" applyFill="1" applyAlignment="1">
      <alignment vertical="center"/>
    </xf>
    <xf numFmtId="0" fontId="12" fillId="8" borderId="0" xfId="0" applyFont="1" applyFill="1" applyAlignment="1">
      <alignment horizontal="center" vertical="center"/>
    </xf>
    <xf numFmtId="0" fontId="6" fillId="8" borderId="0" xfId="0" applyFont="1" applyFill="1" applyAlignment="1">
      <alignment horizontal="left" vertical="center" wrapText="1"/>
    </xf>
    <xf numFmtId="1" fontId="0" fillId="8" borderId="0" xfId="0" applyNumberFormat="1" applyFill="1" applyAlignment="1">
      <alignment horizontal="center" vertical="center"/>
    </xf>
    <xf numFmtId="0" fontId="6" fillId="8" borderId="0" xfId="0" applyFont="1" applyFill="1" applyAlignment="1">
      <alignment wrapText="1"/>
    </xf>
    <xf numFmtId="0" fontId="21" fillId="5" borderId="57"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3" borderId="57" xfId="0" applyFont="1" applyFill="1" applyBorder="1" applyAlignment="1">
      <alignment horizontal="center" vertical="center" wrapText="1"/>
    </xf>
    <xf numFmtId="165" fontId="21" fillId="9" borderId="37" xfId="0" applyNumberFormat="1" applyFont="1" applyFill="1" applyBorder="1" applyAlignment="1">
      <alignment horizontal="center" vertical="center"/>
    </xf>
    <xf numFmtId="0" fontId="21" fillId="11" borderId="29" xfId="0" applyFont="1" applyFill="1" applyBorder="1" applyAlignment="1">
      <alignment horizontal="center" vertical="center" wrapText="1"/>
    </xf>
    <xf numFmtId="0" fontId="21" fillId="11" borderId="16" xfId="0" applyFont="1" applyFill="1" applyBorder="1" applyAlignment="1">
      <alignment horizontal="center" vertical="center" wrapText="1"/>
    </xf>
    <xf numFmtId="0" fontId="21" fillId="15" borderId="56" xfId="0" applyFont="1" applyFill="1" applyBorder="1" applyAlignment="1">
      <alignment horizontal="center" vertical="center" wrapText="1"/>
    </xf>
    <xf numFmtId="0" fontId="21" fillId="16" borderId="56" xfId="0" applyFont="1" applyFill="1" applyBorder="1" applyAlignment="1">
      <alignment horizontal="center" vertical="center" wrapText="1"/>
    </xf>
    <xf numFmtId="0" fontId="21" fillId="17" borderId="56" xfId="0" applyFont="1" applyFill="1" applyBorder="1" applyAlignment="1">
      <alignment horizontal="center" vertical="center" wrapText="1"/>
    </xf>
    <xf numFmtId="0" fontId="21" fillId="2" borderId="9" xfId="0" applyFont="1" applyFill="1" applyBorder="1" applyAlignment="1">
      <alignment horizontal="center" vertical="center" wrapText="1"/>
    </xf>
    <xf numFmtId="165" fontId="28" fillId="8" borderId="0" xfId="0" applyNumberFormat="1" applyFont="1" applyFill="1" applyAlignment="1">
      <alignment horizontal="center" vertical="center" wrapText="1"/>
    </xf>
    <xf numFmtId="0" fontId="19" fillId="8" borderId="13" xfId="0" applyFont="1" applyFill="1" applyBorder="1"/>
    <xf numFmtId="0" fontId="6" fillId="12" borderId="62" xfId="0" applyFont="1" applyFill="1" applyBorder="1" applyAlignment="1">
      <alignment horizontal="center" vertical="center"/>
    </xf>
    <xf numFmtId="0" fontId="6" fillId="12" borderId="64" xfId="0" applyFont="1" applyFill="1" applyBorder="1" applyAlignment="1">
      <alignment horizontal="center" vertical="center"/>
    </xf>
    <xf numFmtId="0" fontId="7" fillId="8" borderId="0" xfId="0" applyFont="1" applyFill="1" applyAlignment="1">
      <alignment horizontal="center" vertical="center"/>
    </xf>
    <xf numFmtId="165" fontId="21" fillId="9" borderId="72" xfId="0" applyNumberFormat="1" applyFont="1" applyFill="1" applyBorder="1" applyAlignment="1">
      <alignment horizontal="center" vertical="center"/>
    </xf>
    <xf numFmtId="165" fontId="21" fillId="9" borderId="73" xfId="0" applyNumberFormat="1" applyFont="1" applyFill="1" applyBorder="1" applyAlignment="1">
      <alignment horizontal="center" vertical="center"/>
    </xf>
    <xf numFmtId="165" fontId="21" fillId="9" borderId="74" xfId="0" applyNumberFormat="1" applyFont="1" applyFill="1" applyBorder="1" applyAlignment="1">
      <alignment horizontal="center" vertical="center"/>
    </xf>
    <xf numFmtId="165" fontId="21" fillId="9" borderId="38" xfId="0" applyNumberFormat="1" applyFont="1" applyFill="1" applyBorder="1" applyAlignment="1">
      <alignment horizontal="center" vertical="center"/>
    </xf>
    <xf numFmtId="165" fontId="21" fillId="9" borderId="75" xfId="0" applyNumberFormat="1" applyFont="1" applyFill="1" applyBorder="1" applyAlignment="1">
      <alignment horizontal="center" vertical="center"/>
    </xf>
    <xf numFmtId="0" fontId="21" fillId="11" borderId="77" xfId="0" applyFont="1" applyFill="1" applyBorder="1" applyAlignment="1">
      <alignment horizontal="center" vertical="center" wrapText="1"/>
    </xf>
    <xf numFmtId="0" fontId="21" fillId="11" borderId="78" xfId="0" applyFont="1" applyFill="1" applyBorder="1" applyAlignment="1">
      <alignment horizontal="center" vertical="center" wrapText="1"/>
    </xf>
    <xf numFmtId="0" fontId="21" fillId="11" borderId="79" xfId="0" applyFont="1" applyFill="1" applyBorder="1" applyAlignment="1">
      <alignment horizontal="center" vertical="center" wrapText="1"/>
    </xf>
    <xf numFmtId="0" fontId="21" fillId="11" borderId="66" xfId="0" applyFont="1" applyFill="1" applyBorder="1" applyAlignment="1">
      <alignment horizontal="center" vertical="center" wrapText="1"/>
    </xf>
    <xf numFmtId="0" fontId="0" fillId="9" borderId="65" xfId="0" applyFill="1" applyBorder="1"/>
    <xf numFmtId="0" fontId="0" fillId="9" borderId="66" xfId="0" applyFill="1" applyBorder="1"/>
    <xf numFmtId="0" fontId="0" fillId="9" borderId="68" xfId="0" applyFill="1" applyBorder="1"/>
    <xf numFmtId="0" fontId="0" fillId="9" borderId="71" xfId="0" applyFill="1" applyBorder="1"/>
    <xf numFmtId="0" fontId="0" fillId="9" borderId="0" xfId="0" applyFill="1"/>
    <xf numFmtId="0" fontId="0" fillId="9" borderId="69" xfId="0" applyFill="1" applyBorder="1"/>
    <xf numFmtId="0" fontId="0" fillId="9" borderId="65" xfId="0" applyFill="1" applyBorder="1" applyAlignment="1">
      <alignment horizontal="center"/>
    </xf>
    <xf numFmtId="0" fontId="0" fillId="9" borderId="66" xfId="0" applyFill="1" applyBorder="1" applyAlignment="1">
      <alignment horizontal="center"/>
    </xf>
    <xf numFmtId="0" fontId="0" fillId="9" borderId="65" xfId="0" applyFill="1" applyBorder="1" applyAlignment="1">
      <alignment vertical="center" wrapText="1"/>
    </xf>
    <xf numFmtId="0" fontId="0" fillId="9" borderId="66" xfId="0" applyFill="1" applyBorder="1" applyAlignment="1">
      <alignment vertical="center" wrapText="1"/>
    </xf>
    <xf numFmtId="0" fontId="0" fillId="9" borderId="68" xfId="0" applyFill="1" applyBorder="1" applyAlignment="1">
      <alignment vertical="center" wrapText="1"/>
    </xf>
    <xf numFmtId="0" fontId="0" fillId="9" borderId="69" xfId="0" applyFill="1" applyBorder="1" applyAlignment="1">
      <alignment vertical="center" wrapText="1"/>
    </xf>
    <xf numFmtId="0" fontId="0" fillId="9" borderId="71" xfId="0" applyFill="1" applyBorder="1" applyAlignment="1">
      <alignment vertical="center" wrapText="1"/>
    </xf>
    <xf numFmtId="0" fontId="0" fillId="9" borderId="0" xfId="0" applyFill="1" applyAlignment="1">
      <alignment vertical="center" wrapText="1"/>
    </xf>
    <xf numFmtId="0" fontId="0" fillId="13" borderId="0" xfId="0" applyFill="1"/>
    <xf numFmtId="0" fontId="0" fillId="13" borderId="0" xfId="0" applyFill="1" applyAlignment="1">
      <alignment vertical="center" wrapText="1"/>
    </xf>
    <xf numFmtId="0" fontId="0" fillId="10" borderId="0" xfId="0" applyFill="1"/>
    <xf numFmtId="0" fontId="10" fillId="9" borderId="0" xfId="0" applyFont="1" applyFill="1" applyAlignment="1">
      <alignment horizontal="center" vertical="center"/>
    </xf>
    <xf numFmtId="165" fontId="0" fillId="8" borderId="0" xfId="0" applyNumberFormat="1" applyFill="1" applyAlignment="1">
      <alignment horizontal="center" vertical="center" wrapText="1"/>
    </xf>
    <xf numFmtId="165" fontId="0" fillId="9" borderId="66" xfId="0" applyNumberFormat="1" applyFill="1" applyBorder="1" applyAlignment="1">
      <alignment horizontal="center" vertical="center"/>
    </xf>
    <xf numFmtId="0" fontId="17" fillId="9" borderId="69" xfId="0" applyFont="1" applyFill="1" applyBorder="1" applyAlignment="1">
      <alignment vertical="center"/>
    </xf>
    <xf numFmtId="0" fontId="7" fillId="11" borderId="69" xfId="0" applyFont="1" applyFill="1" applyBorder="1" applyAlignment="1">
      <alignment horizontal="right" vertical="center"/>
    </xf>
    <xf numFmtId="165" fontId="26" fillId="11" borderId="71" xfId="0" applyNumberFormat="1" applyFont="1" applyFill="1" applyBorder="1" applyAlignment="1">
      <alignment horizontal="center" vertical="center"/>
    </xf>
    <xf numFmtId="2" fontId="0" fillId="0" borderId="13" xfId="0" applyNumberFormat="1" applyBorder="1" applyAlignment="1">
      <alignment horizontal="center"/>
    </xf>
    <xf numFmtId="2" fontId="0" fillId="0" borderId="85" xfId="0" applyNumberFormat="1" applyBorder="1" applyAlignment="1">
      <alignment horizontal="center" vertical="center"/>
    </xf>
    <xf numFmtId="0" fontId="13" fillId="8" borderId="0" xfId="2" applyFill="1"/>
    <xf numFmtId="1" fontId="0" fillId="8" borderId="0" xfId="0" applyNumberFormat="1" applyFill="1"/>
    <xf numFmtId="2" fontId="0" fillId="8" borderId="0" xfId="0" applyNumberFormat="1" applyFill="1"/>
    <xf numFmtId="0" fontId="6" fillId="8" borderId="0" xfId="0" applyFont="1" applyFill="1"/>
    <xf numFmtId="0" fontId="6" fillId="8" borderId="0" xfId="0" applyFont="1" applyFill="1" applyAlignment="1">
      <alignment vertical="center" textRotation="90"/>
    </xf>
    <xf numFmtId="0" fontId="21" fillId="8" borderId="0" xfId="0" applyFont="1" applyFill="1" applyAlignment="1">
      <alignment vertical="center"/>
    </xf>
    <xf numFmtId="2" fontId="0" fillId="0" borderId="14" xfId="0" applyNumberFormat="1" applyBorder="1" applyAlignment="1">
      <alignment horizontal="center" vertical="center"/>
    </xf>
    <xf numFmtId="2" fontId="0" fillId="0" borderId="29" xfId="0" applyNumberFormat="1" applyBorder="1" applyAlignment="1">
      <alignment horizontal="center" vertical="center"/>
    </xf>
    <xf numFmtId="2" fontId="0" fillId="0" borderId="84" xfId="0" applyNumberFormat="1" applyBorder="1" applyAlignment="1">
      <alignment horizontal="center" vertical="center"/>
    </xf>
    <xf numFmtId="2" fontId="0" fillId="0" borderId="44" xfId="0" applyNumberFormat="1" applyBorder="1" applyAlignment="1">
      <alignment horizontal="center" vertical="center"/>
    </xf>
    <xf numFmtId="2" fontId="0" fillId="0" borderId="31" xfId="0" applyNumberFormat="1" applyBorder="1" applyAlignment="1">
      <alignment horizontal="center" vertical="center"/>
    </xf>
    <xf numFmtId="0" fontId="0" fillId="12" borderId="84" xfId="0" applyFill="1" applyBorder="1"/>
    <xf numFmtId="1" fontId="0" fillId="12" borderId="8" xfId="0" applyNumberFormat="1" applyFill="1" applyBorder="1" applyAlignment="1">
      <alignment horizontal="center"/>
    </xf>
    <xf numFmtId="1" fontId="0" fillId="12" borderId="31" xfId="0" applyNumberFormat="1" applyFill="1" applyBorder="1" applyAlignment="1">
      <alignment horizontal="center"/>
    </xf>
    <xf numFmtId="0" fontId="0" fillId="12" borderId="85" xfId="0" applyFill="1" applyBorder="1"/>
    <xf numFmtId="0" fontId="0" fillId="12" borderId="44" xfId="0" applyFill="1" applyBorder="1"/>
    <xf numFmtId="9" fontId="21" fillId="9" borderId="80" xfId="5" applyFont="1" applyFill="1" applyBorder="1" applyAlignment="1">
      <alignment horizontal="center" vertical="center"/>
    </xf>
    <xf numFmtId="9" fontId="21" fillId="9" borderId="81" xfId="5" applyFont="1" applyFill="1" applyBorder="1" applyAlignment="1">
      <alignment horizontal="center" vertical="center"/>
    </xf>
    <xf numFmtId="0" fontId="0" fillId="0" borderId="87" xfId="0" applyBorder="1" applyAlignment="1">
      <alignment horizontal="center"/>
    </xf>
    <xf numFmtId="2" fontId="0" fillId="0" borderId="89" xfId="0" applyNumberFormat="1" applyBorder="1" applyAlignment="1">
      <alignment horizontal="center"/>
    </xf>
    <xf numFmtId="2" fontId="0" fillId="0" borderId="90" xfId="0" applyNumberFormat="1"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21" fillId="8" borderId="0" xfId="0" applyFont="1" applyFill="1" applyAlignment="1">
      <alignment horizontal="center" vertical="center" wrapText="1"/>
    </xf>
    <xf numFmtId="165" fontId="21" fillId="8" borderId="0" xfId="0" applyNumberFormat="1" applyFont="1" applyFill="1" applyAlignment="1">
      <alignment horizontal="center" vertical="center"/>
    </xf>
    <xf numFmtId="165" fontId="22" fillId="0" borderId="10" xfId="0" applyNumberFormat="1" applyFont="1" applyBorder="1" applyAlignment="1">
      <alignment horizontal="center" vertical="center"/>
    </xf>
    <xf numFmtId="165" fontId="21" fillId="0" borderId="38" xfId="0" applyNumberFormat="1" applyFont="1" applyBorder="1" applyAlignment="1">
      <alignment horizontal="center" vertical="center"/>
    </xf>
    <xf numFmtId="165" fontId="21" fillId="0" borderId="12" xfId="0" applyNumberFormat="1" applyFont="1" applyBorder="1" applyAlignment="1">
      <alignment horizontal="center" vertical="center"/>
    </xf>
    <xf numFmtId="0" fontId="19" fillId="8" borderId="0" xfId="0" applyFont="1" applyFill="1" applyAlignment="1">
      <alignment vertical="center"/>
    </xf>
    <xf numFmtId="0" fontId="21" fillId="11" borderId="42" xfId="0" applyFont="1" applyFill="1" applyBorder="1" applyAlignment="1">
      <alignment horizontal="center" vertical="center" wrapText="1"/>
    </xf>
    <xf numFmtId="165" fontId="0" fillId="9" borderId="10" xfId="0" applyNumberFormat="1" applyFill="1" applyBorder="1" applyAlignment="1">
      <alignment horizontal="center"/>
    </xf>
    <xf numFmtId="0" fontId="21" fillId="11" borderId="35" xfId="0" applyFont="1" applyFill="1" applyBorder="1" applyAlignment="1">
      <alignment horizontal="center" vertical="center"/>
    </xf>
    <xf numFmtId="165" fontId="21" fillId="9" borderId="5" xfId="0" applyNumberFormat="1" applyFont="1" applyFill="1" applyBorder="1" applyAlignment="1">
      <alignment horizontal="center" vertical="center"/>
    </xf>
    <xf numFmtId="165" fontId="21" fillId="9" borderId="7" xfId="0" applyNumberFormat="1" applyFont="1" applyFill="1" applyBorder="1" applyAlignment="1">
      <alignment horizontal="center" vertical="center"/>
    </xf>
    <xf numFmtId="1" fontId="22" fillId="0" borderId="38" xfId="0" applyNumberFormat="1" applyFont="1" applyBorder="1" applyAlignment="1">
      <alignment horizontal="center" vertical="center"/>
    </xf>
    <xf numFmtId="1" fontId="21" fillId="0" borderId="88" xfId="0" applyNumberFormat="1" applyFont="1" applyBorder="1" applyAlignment="1">
      <alignment horizontal="center" vertical="center"/>
    </xf>
    <xf numFmtId="0" fontId="21" fillId="11" borderId="52" xfId="0" applyFont="1" applyFill="1" applyBorder="1" applyAlignment="1">
      <alignment horizontal="center" vertical="center" wrapText="1"/>
    </xf>
    <xf numFmtId="0" fontId="21" fillId="11" borderId="91" xfId="0" applyFont="1" applyFill="1" applyBorder="1" applyAlignment="1">
      <alignment horizontal="center" vertical="center"/>
    </xf>
    <xf numFmtId="9" fontId="21" fillId="9" borderId="92" xfId="5" applyFont="1" applyFill="1" applyBorder="1" applyAlignment="1">
      <alignment horizontal="center" vertical="center"/>
    </xf>
    <xf numFmtId="9" fontId="21" fillId="9" borderId="93" xfId="5" applyFont="1" applyFill="1" applyBorder="1" applyAlignment="1">
      <alignment horizontal="center" vertical="center"/>
    </xf>
    <xf numFmtId="9" fontId="21" fillId="9" borderId="94" xfId="5" applyFont="1" applyFill="1" applyBorder="1" applyAlignment="1">
      <alignment horizontal="center" vertical="center"/>
    </xf>
    <xf numFmtId="9" fontId="21" fillId="9" borderId="95" xfId="5" applyFont="1" applyFill="1" applyBorder="1" applyAlignment="1">
      <alignment horizontal="center" vertical="center"/>
    </xf>
    <xf numFmtId="9" fontId="21" fillId="9" borderId="96" xfId="5" applyFont="1" applyFill="1" applyBorder="1" applyAlignment="1">
      <alignment horizontal="center" vertical="center"/>
    </xf>
    <xf numFmtId="9" fontId="21" fillId="9" borderId="97" xfId="5" applyFont="1" applyFill="1" applyBorder="1" applyAlignment="1">
      <alignment horizontal="center" vertical="center"/>
    </xf>
    <xf numFmtId="0" fontId="21" fillId="11" borderId="56" xfId="0" applyFont="1" applyFill="1" applyBorder="1" applyAlignment="1">
      <alignment horizontal="center" vertical="center" wrapText="1"/>
    </xf>
    <xf numFmtId="0" fontId="0" fillId="8" borderId="0" xfId="0" applyFill="1" applyAlignment="1">
      <alignment horizontal="left" wrapText="1"/>
    </xf>
    <xf numFmtId="0" fontId="21" fillId="11" borderId="11" xfId="0" applyFont="1" applyFill="1" applyBorder="1" applyAlignment="1">
      <alignment horizontal="center" vertical="center"/>
    </xf>
    <xf numFmtId="9" fontId="21" fillId="8" borderId="0" xfId="5" applyFont="1" applyFill="1" applyBorder="1" applyAlignment="1">
      <alignment horizontal="center" vertical="center"/>
    </xf>
    <xf numFmtId="0" fontId="21" fillId="11" borderId="57" xfId="0" applyFont="1" applyFill="1" applyBorder="1" applyAlignment="1">
      <alignment horizontal="center" vertical="center" wrapText="1"/>
    </xf>
    <xf numFmtId="0" fontId="21" fillId="11" borderId="98" xfId="0" applyFont="1" applyFill="1" applyBorder="1" applyAlignment="1">
      <alignment horizontal="center" vertical="center"/>
    </xf>
    <xf numFmtId="0" fontId="21" fillId="11" borderId="10" xfId="0" applyFont="1" applyFill="1" applyBorder="1" applyAlignment="1">
      <alignment horizontal="center" vertical="center" wrapText="1"/>
    </xf>
    <xf numFmtId="0" fontId="21" fillId="11" borderId="26" xfId="0" applyFont="1" applyFill="1" applyBorder="1" applyAlignment="1">
      <alignment horizontal="center" vertical="center" wrapText="1"/>
    </xf>
    <xf numFmtId="165" fontId="21" fillId="9" borderId="94" xfId="5" applyNumberFormat="1" applyFont="1" applyFill="1" applyBorder="1" applyAlignment="1">
      <alignment horizontal="center" vertical="center"/>
    </xf>
    <xf numFmtId="165" fontId="21" fillId="9" borderId="95" xfId="5" applyNumberFormat="1" applyFont="1" applyFill="1" applyBorder="1" applyAlignment="1">
      <alignment horizontal="center" vertical="center"/>
    </xf>
    <xf numFmtId="165" fontId="21" fillId="9" borderId="99" xfId="5" applyNumberFormat="1" applyFont="1" applyFill="1" applyBorder="1" applyAlignment="1">
      <alignment horizontal="center" vertical="center"/>
    </xf>
    <xf numFmtId="165" fontId="21" fillId="9" borderId="100" xfId="5" applyNumberFormat="1" applyFont="1" applyFill="1" applyBorder="1" applyAlignment="1">
      <alignment horizontal="center" vertical="center"/>
    </xf>
    <xf numFmtId="165" fontId="21" fillId="9" borderId="101" xfId="5" applyNumberFormat="1" applyFont="1" applyFill="1" applyBorder="1" applyAlignment="1">
      <alignment horizontal="center" vertical="center"/>
    </xf>
    <xf numFmtId="165" fontId="21" fillId="9" borderId="102" xfId="5" applyNumberFormat="1" applyFont="1" applyFill="1" applyBorder="1" applyAlignment="1">
      <alignment horizontal="center" vertical="center"/>
    </xf>
    <xf numFmtId="0" fontId="11" fillId="13" borderId="51" xfId="0" applyFont="1" applyFill="1" applyBorder="1" applyAlignment="1">
      <alignment horizontal="center" vertical="center"/>
    </xf>
    <xf numFmtId="0" fontId="32" fillId="13" borderId="53" xfId="0" applyFont="1" applyFill="1" applyBorder="1" applyAlignment="1">
      <alignment horizontal="center" vertical="center"/>
    </xf>
    <xf numFmtId="165" fontId="0" fillId="8" borderId="0" xfId="0" applyNumberFormat="1" applyFill="1"/>
    <xf numFmtId="0" fontId="21" fillId="8" borderId="0" xfId="0" applyFont="1" applyFill="1" applyAlignment="1">
      <alignment horizontal="center"/>
    </xf>
    <xf numFmtId="0" fontId="0" fillId="9" borderId="85" xfId="0" applyFill="1" applyBorder="1"/>
    <xf numFmtId="165" fontId="0" fillId="9" borderId="85" xfId="1" applyNumberFormat="1" applyFont="1" applyFill="1" applyBorder="1" applyAlignment="1">
      <alignment horizontal="center" vertical="center"/>
    </xf>
    <xf numFmtId="0" fontId="0" fillId="9" borderId="85" xfId="0" applyFill="1" applyBorder="1" applyAlignment="1">
      <alignment horizontal="center" vertical="center"/>
    </xf>
    <xf numFmtId="165" fontId="0" fillId="9" borderId="67" xfId="0" applyNumberFormat="1" applyFill="1" applyBorder="1" applyAlignment="1">
      <alignment horizontal="center" vertical="center"/>
    </xf>
    <xf numFmtId="165" fontId="21" fillId="9" borderId="103" xfId="5" applyNumberFormat="1" applyFont="1" applyFill="1" applyBorder="1" applyAlignment="1">
      <alignment horizontal="center" vertical="center"/>
    </xf>
    <xf numFmtId="165" fontId="21" fillId="9" borderId="104" xfId="5" applyNumberFormat="1" applyFont="1" applyFill="1" applyBorder="1" applyAlignment="1">
      <alignment horizontal="center" vertical="center"/>
    </xf>
    <xf numFmtId="0" fontId="21" fillId="8" borderId="0" xfId="0" applyFont="1" applyFill="1" applyAlignment="1">
      <alignment horizontal="center" vertical="center"/>
    </xf>
    <xf numFmtId="169" fontId="0" fillId="0" borderId="57" xfId="0" applyNumberFormat="1" applyBorder="1" applyAlignment="1">
      <alignment horizontal="center"/>
    </xf>
    <xf numFmtId="169" fontId="0" fillId="0" borderId="58" xfId="0" applyNumberFormat="1" applyBorder="1" applyAlignment="1">
      <alignment horizontal="center"/>
    </xf>
    <xf numFmtId="169" fontId="0" fillId="0" borderId="59" xfId="0" applyNumberFormat="1" applyBorder="1" applyAlignment="1">
      <alignment horizontal="center"/>
    </xf>
    <xf numFmtId="169" fontId="0" fillId="0" borderId="87" xfId="0" applyNumberFormat="1" applyBorder="1" applyAlignment="1">
      <alignment horizontal="center"/>
    </xf>
    <xf numFmtId="169" fontId="0" fillId="0" borderId="1" xfId="0" applyNumberFormat="1" applyBorder="1" applyAlignment="1">
      <alignment horizontal="center"/>
    </xf>
    <xf numFmtId="169" fontId="0" fillId="0" borderId="5" xfId="0" applyNumberFormat="1" applyBorder="1" applyAlignment="1">
      <alignment horizontal="center"/>
    </xf>
    <xf numFmtId="169" fontId="0" fillId="0" borderId="56" xfId="0" applyNumberFormat="1" applyBorder="1" applyAlignment="1">
      <alignment horizontal="center"/>
    </xf>
    <xf numFmtId="169" fontId="0" fillId="0" borderId="6" xfId="0" applyNumberFormat="1" applyBorder="1" applyAlignment="1">
      <alignment horizontal="center"/>
    </xf>
    <xf numFmtId="169" fontId="0" fillId="0" borderId="7" xfId="0" applyNumberFormat="1" applyBorder="1" applyAlignment="1">
      <alignment horizontal="center"/>
    </xf>
    <xf numFmtId="0" fontId="0" fillId="8" borderId="0" xfId="0" applyFill="1" applyAlignment="1">
      <alignment horizontal="center" vertical="center" wrapText="1"/>
    </xf>
    <xf numFmtId="167" fontId="0" fillId="8" borderId="0" xfId="0" applyNumberFormat="1" applyFill="1" applyAlignment="1">
      <alignment horizontal="center" vertical="center"/>
    </xf>
    <xf numFmtId="2" fontId="0" fillId="0" borderId="25" xfId="0" applyNumberFormat="1" applyBorder="1" applyAlignment="1">
      <alignment horizontal="center" vertical="center"/>
    </xf>
    <xf numFmtId="0" fontId="0" fillId="9" borderId="0" xfId="0" applyFill="1" applyAlignment="1">
      <alignment horizontal="left" vertical="center" wrapText="1"/>
    </xf>
    <xf numFmtId="0" fontId="21" fillId="11" borderId="5" xfId="0" applyFont="1" applyFill="1" applyBorder="1" applyAlignment="1">
      <alignment horizontal="center" vertical="center"/>
    </xf>
    <xf numFmtId="0" fontId="21" fillId="9" borderId="94" xfId="5" applyNumberFormat="1" applyFont="1" applyFill="1" applyBorder="1" applyAlignment="1">
      <alignment horizontal="center" vertical="center"/>
    </xf>
    <xf numFmtId="0" fontId="21" fillId="9" borderId="95" xfId="5" applyNumberFormat="1" applyFont="1" applyFill="1" applyBorder="1" applyAlignment="1">
      <alignment horizontal="center" vertical="center"/>
    </xf>
    <xf numFmtId="0" fontId="21" fillId="9" borderId="96" xfId="5" applyNumberFormat="1" applyFont="1" applyFill="1" applyBorder="1" applyAlignment="1">
      <alignment horizontal="center" vertical="center"/>
    </xf>
    <xf numFmtId="0" fontId="21" fillId="9" borderId="97" xfId="5" applyNumberFormat="1" applyFont="1" applyFill="1" applyBorder="1" applyAlignment="1">
      <alignment horizontal="center" vertical="center"/>
    </xf>
    <xf numFmtId="0" fontId="21" fillId="9" borderId="92" xfId="5" applyNumberFormat="1" applyFont="1" applyFill="1" applyBorder="1" applyAlignment="1">
      <alignment horizontal="center" vertical="center"/>
    </xf>
    <xf numFmtId="0" fontId="21" fillId="9" borderId="93" xfId="5" applyNumberFormat="1" applyFont="1" applyFill="1" applyBorder="1" applyAlignment="1">
      <alignment horizontal="center" vertical="center"/>
    </xf>
    <xf numFmtId="0" fontId="21" fillId="9" borderId="80" xfId="5" applyNumberFormat="1" applyFont="1" applyFill="1" applyBorder="1" applyAlignment="1">
      <alignment horizontal="center" vertical="center"/>
    </xf>
    <xf numFmtId="0" fontId="21" fillId="9" borderId="81" xfId="5" applyNumberFormat="1" applyFont="1" applyFill="1" applyBorder="1" applyAlignment="1">
      <alignment horizontal="center" vertical="center"/>
    </xf>
    <xf numFmtId="2" fontId="0" fillId="0" borderId="0" xfId="0" applyNumberFormat="1" applyAlignment="1">
      <alignment horizontal="center"/>
    </xf>
    <xf numFmtId="2" fontId="0" fillId="0" borderId="50" xfId="0" applyNumberFormat="1" applyBorder="1" applyAlignment="1">
      <alignment horizontal="center" vertical="center"/>
    </xf>
    <xf numFmtId="1" fontId="21" fillId="9" borderId="94" xfId="5" applyNumberFormat="1" applyFont="1" applyFill="1" applyBorder="1" applyAlignment="1">
      <alignment horizontal="center" vertical="center"/>
    </xf>
    <xf numFmtId="1" fontId="21" fillId="9" borderId="96" xfId="5" applyNumberFormat="1" applyFont="1" applyFill="1" applyBorder="1" applyAlignment="1">
      <alignment horizontal="center" vertical="center"/>
    </xf>
    <xf numFmtId="0" fontId="0" fillId="9" borderId="28" xfId="0" applyFill="1" applyBorder="1" applyAlignment="1">
      <alignment vertical="center"/>
    </xf>
    <xf numFmtId="165" fontId="0" fillId="0" borderId="36" xfId="0" applyNumberFormat="1" applyBorder="1" applyAlignment="1">
      <alignment horizontal="center" vertical="center"/>
    </xf>
    <xf numFmtId="165" fontId="0" fillId="9" borderId="36" xfId="0" quotePrefix="1" applyNumberFormat="1" applyFill="1" applyBorder="1" applyAlignment="1">
      <alignment horizontal="center" vertical="center"/>
    </xf>
    <xf numFmtId="0" fontId="0" fillId="9" borderId="36" xfId="0" applyFill="1" applyBorder="1" applyAlignment="1">
      <alignment horizontal="left" vertical="center" wrapText="1"/>
    </xf>
    <xf numFmtId="0" fontId="0" fillId="9" borderId="36" xfId="0" applyFill="1" applyBorder="1" applyAlignment="1">
      <alignment horizontal="left" vertical="center"/>
    </xf>
    <xf numFmtId="0" fontId="0" fillId="9" borderId="36" xfId="0" quotePrefix="1" applyFill="1" applyBorder="1" applyAlignment="1">
      <alignment horizontal="left" vertical="center" wrapText="1"/>
    </xf>
    <xf numFmtId="0" fontId="0" fillId="9" borderId="36" xfId="0" quotePrefix="1" applyFill="1" applyBorder="1" applyAlignment="1">
      <alignment horizontal="left" vertical="center"/>
    </xf>
    <xf numFmtId="165" fontId="0" fillId="0" borderId="107" xfId="0" applyNumberFormat="1" applyBorder="1" applyAlignment="1">
      <alignment horizontal="center" vertical="center"/>
    </xf>
    <xf numFmtId="165" fontId="0" fillId="9" borderId="107" xfId="0" quotePrefix="1" applyNumberFormat="1" applyFill="1" applyBorder="1" applyAlignment="1">
      <alignment horizontal="center" vertical="center"/>
    </xf>
    <xf numFmtId="0" fontId="0" fillId="9" borderId="107" xfId="0" applyFill="1" applyBorder="1" applyAlignment="1">
      <alignment horizontal="left" vertical="center" wrapText="1"/>
    </xf>
    <xf numFmtId="0" fontId="0" fillId="9" borderId="9" xfId="0" applyFill="1" applyBorder="1" applyAlignment="1">
      <alignment vertical="center" wrapText="1"/>
    </xf>
    <xf numFmtId="165" fontId="0" fillId="9" borderId="107" xfId="0" applyNumberFormat="1" applyFill="1" applyBorder="1" applyAlignment="1">
      <alignment horizontal="center" vertical="center"/>
    </xf>
    <xf numFmtId="0" fontId="0" fillId="9" borderId="107" xfId="0" applyFill="1" applyBorder="1" applyAlignment="1">
      <alignment horizontal="left" vertical="center"/>
    </xf>
    <xf numFmtId="165" fontId="0" fillId="9" borderId="36" xfId="0" applyNumberFormat="1" applyFill="1" applyBorder="1" applyAlignment="1">
      <alignment horizontal="center" vertical="center"/>
    </xf>
    <xf numFmtId="0" fontId="0" fillId="9" borderId="25" xfId="0" applyFill="1" applyBorder="1" applyAlignment="1">
      <alignment vertical="center"/>
    </xf>
    <xf numFmtId="0" fontId="0" fillId="9" borderId="13" xfId="0" applyFill="1" applyBorder="1" applyAlignment="1">
      <alignment vertical="center" wrapText="1"/>
    </xf>
    <xf numFmtId="165" fontId="0" fillId="0" borderId="107" xfId="0" quotePrefix="1" applyNumberFormat="1" applyBorder="1" applyAlignment="1">
      <alignment horizontal="center" vertical="center"/>
    </xf>
    <xf numFmtId="0" fontId="0" fillId="0" borderId="107" xfId="0" applyBorder="1" applyAlignment="1">
      <alignment horizontal="left" vertical="center" wrapText="1"/>
    </xf>
    <xf numFmtId="0" fontId="0" fillId="0" borderId="107" xfId="0" applyBorder="1" applyAlignment="1">
      <alignment horizontal="left" vertical="center"/>
    </xf>
    <xf numFmtId="165" fontId="0" fillId="0" borderId="36" xfId="0" quotePrefix="1" applyNumberFormat="1" applyBorder="1" applyAlignment="1">
      <alignment horizontal="center" vertical="center"/>
    </xf>
    <xf numFmtId="0" fontId="0" fillId="0" borderId="36" xfId="0" applyBorder="1" applyAlignment="1">
      <alignment horizontal="left" vertical="center" wrapText="1"/>
    </xf>
    <xf numFmtId="0" fontId="0" fillId="0" borderId="36" xfId="0" applyBorder="1" applyAlignment="1">
      <alignment horizontal="left" vertical="center"/>
    </xf>
    <xf numFmtId="165" fontId="0" fillId="0" borderId="42" xfId="0" applyNumberFormat="1" applyBorder="1" applyAlignment="1">
      <alignment horizontal="center" vertical="center"/>
    </xf>
    <xf numFmtId="0" fontId="0" fillId="0" borderId="36" xfId="0" applyBorder="1" applyAlignment="1">
      <alignment vertical="center"/>
    </xf>
    <xf numFmtId="0" fontId="0" fillId="0" borderId="36" xfId="0" applyBorder="1" applyAlignment="1">
      <alignment vertical="center" wrapText="1"/>
    </xf>
    <xf numFmtId="0" fontId="0" fillId="0" borderId="36" xfId="2" applyFont="1" applyFill="1" applyBorder="1" applyAlignment="1">
      <alignment horizontal="left" vertical="center"/>
    </xf>
    <xf numFmtId="0" fontId="0" fillId="0" borderId="42" xfId="0" applyBorder="1" applyAlignment="1">
      <alignment horizontal="left" vertical="center" wrapText="1"/>
    </xf>
    <xf numFmtId="0" fontId="35" fillId="0" borderId="36" xfId="2" applyFont="1" applyFill="1" applyBorder="1" applyAlignment="1">
      <alignment horizontal="left" vertical="center"/>
    </xf>
    <xf numFmtId="0" fontId="35" fillId="0" borderId="36" xfId="2" applyFont="1" applyFill="1" applyBorder="1" applyAlignment="1">
      <alignment horizontal="left" vertical="center" wrapText="1"/>
    </xf>
    <xf numFmtId="0" fontId="0" fillId="0" borderId="36" xfId="0" applyBorder="1" applyAlignment="1">
      <alignment wrapText="1"/>
    </xf>
    <xf numFmtId="0" fontId="35" fillId="0" borderId="36" xfId="2" applyFont="1" applyFill="1" applyBorder="1" applyAlignment="1">
      <alignment vertical="center" wrapText="1"/>
    </xf>
    <xf numFmtId="0" fontId="0" fillId="0" borderId="42" xfId="0" applyBorder="1" applyAlignment="1">
      <alignment horizontal="left" vertical="center"/>
    </xf>
    <xf numFmtId="0" fontId="10" fillId="15" borderId="25" xfId="0" applyFont="1" applyFill="1" applyBorder="1" applyAlignment="1">
      <alignment horizontal="center" vertical="center"/>
    </xf>
    <xf numFmtId="0" fontId="10" fillId="15" borderId="13" xfId="0" applyFont="1" applyFill="1" applyBorder="1" applyAlignment="1">
      <alignment horizontal="center" vertical="center"/>
    </xf>
    <xf numFmtId="165" fontId="3" fillId="0" borderId="107" xfId="0" applyNumberFormat="1" applyFont="1" applyBorder="1" applyAlignment="1">
      <alignment horizontal="center" vertical="center"/>
    </xf>
    <xf numFmtId="165" fontId="3" fillId="9" borderId="107" xfId="0" quotePrefix="1" applyNumberFormat="1" applyFont="1" applyFill="1" applyBorder="1" applyAlignment="1">
      <alignment horizontal="center" vertical="center"/>
    </xf>
    <xf numFmtId="0" fontId="3" fillId="9" borderId="107" xfId="0" applyFont="1" applyFill="1" applyBorder="1" applyAlignment="1">
      <alignment horizontal="left" vertical="center" wrapText="1"/>
    </xf>
    <xf numFmtId="0" fontId="3" fillId="9" borderId="107" xfId="0" applyFont="1" applyFill="1" applyBorder="1" applyAlignment="1">
      <alignment horizontal="left" vertical="center"/>
    </xf>
    <xf numFmtId="0" fontId="36" fillId="15" borderId="13" xfId="0" applyFont="1" applyFill="1" applyBorder="1" applyAlignment="1">
      <alignment horizontal="center" vertical="center" wrapText="1"/>
    </xf>
    <xf numFmtId="0" fontId="36" fillId="15" borderId="14" xfId="0" applyFont="1" applyFill="1" applyBorder="1" applyAlignment="1">
      <alignment horizontal="center" vertical="center" wrapText="1"/>
    </xf>
    <xf numFmtId="0" fontId="10" fillId="15" borderId="28" xfId="0" applyFont="1" applyFill="1" applyBorder="1" applyAlignment="1">
      <alignment horizontal="center" vertical="center"/>
    </xf>
    <xf numFmtId="0" fontId="10" fillId="15" borderId="0" xfId="0" applyFont="1" applyFill="1" applyAlignment="1">
      <alignment horizontal="center" vertical="center"/>
    </xf>
    <xf numFmtId="0" fontId="10" fillId="15" borderId="10" xfId="0" applyFont="1" applyFill="1" applyBorder="1" applyAlignment="1">
      <alignment horizontal="center" vertical="center"/>
    </xf>
    <xf numFmtId="0" fontId="0" fillId="9" borderId="87" xfId="0" applyFill="1" applyBorder="1"/>
    <xf numFmtId="0" fontId="0" fillId="9" borderId="56" xfId="0" applyFill="1" applyBorder="1"/>
    <xf numFmtId="0" fontId="0" fillId="0" borderId="37" xfId="0" applyBorder="1" applyAlignment="1">
      <alignment horizontal="left" vertical="center" wrapText="1"/>
    </xf>
    <xf numFmtId="0" fontId="21" fillId="11" borderId="56" xfId="0" applyFont="1" applyFill="1" applyBorder="1" applyAlignment="1">
      <alignment horizontal="center" vertical="center"/>
    </xf>
    <xf numFmtId="0" fontId="21" fillId="11" borderId="7" xfId="0" applyFont="1" applyFill="1" applyBorder="1" applyAlignment="1">
      <alignment horizontal="center" vertical="center"/>
    </xf>
    <xf numFmtId="0" fontId="0" fillId="0" borderId="37" xfId="0" applyBorder="1" applyAlignment="1">
      <alignment horizontal="left" vertical="center"/>
    </xf>
    <xf numFmtId="0" fontId="0" fillId="9" borderId="29" xfId="0" applyFill="1" applyBorder="1" applyAlignment="1">
      <alignment horizontal="center" vertical="center"/>
    </xf>
    <xf numFmtId="0" fontId="10" fillId="12" borderId="3" xfId="0" applyFont="1" applyFill="1" applyBorder="1" applyAlignment="1">
      <alignment horizontal="center" vertical="center"/>
    </xf>
    <xf numFmtId="165" fontId="26" fillId="11" borderId="14" xfId="0" applyNumberFormat="1" applyFont="1" applyFill="1" applyBorder="1" applyAlignment="1">
      <alignment horizontal="center" vertical="center"/>
    </xf>
    <xf numFmtId="0" fontId="10" fillId="15" borderId="32" xfId="0" applyFont="1" applyFill="1" applyBorder="1" applyAlignment="1">
      <alignment horizontal="center" vertical="center"/>
    </xf>
    <xf numFmtId="0" fontId="10" fillId="15" borderId="9" xfId="0" applyFont="1" applyFill="1" applyBorder="1" applyAlignment="1">
      <alignment horizontal="center" vertical="center"/>
    </xf>
    <xf numFmtId="0" fontId="10" fillId="15" borderId="11" xfId="0" applyFont="1" applyFill="1" applyBorder="1" applyAlignment="1">
      <alignment horizontal="center" vertical="center"/>
    </xf>
    <xf numFmtId="0" fontId="0" fillId="9" borderId="27" xfId="0" applyFill="1" applyBorder="1"/>
    <xf numFmtId="165" fontId="0" fillId="9" borderId="16" xfId="0" applyNumberFormat="1" applyFill="1" applyBorder="1" applyAlignment="1">
      <alignment horizontal="center" vertical="center" wrapText="1"/>
    </xf>
    <xf numFmtId="0" fontId="0" fillId="9" borderId="29" xfId="0" applyFill="1" applyBorder="1"/>
    <xf numFmtId="0" fontId="6" fillId="12" borderId="10" xfId="0" applyFont="1" applyFill="1" applyBorder="1" applyAlignment="1">
      <alignment horizontal="center" vertical="center"/>
    </xf>
    <xf numFmtId="165" fontId="0" fillId="9" borderId="10" xfId="1" applyNumberFormat="1" applyFont="1" applyFill="1" applyBorder="1" applyAlignment="1">
      <alignment horizontal="center" vertical="center"/>
    </xf>
    <xf numFmtId="165" fontId="21" fillId="0" borderId="88" xfId="0" applyNumberFormat="1" applyFont="1" applyBorder="1" applyAlignment="1">
      <alignment horizontal="center" vertical="center"/>
    </xf>
    <xf numFmtId="0" fontId="0" fillId="0" borderId="87" xfId="0" applyBorder="1"/>
    <xf numFmtId="0" fontId="0" fillId="0" borderId="87" xfId="0" applyBorder="1" applyAlignment="1">
      <alignment horizontal="left" vertical="center"/>
    </xf>
    <xf numFmtId="0" fontId="17" fillId="0" borderId="87" xfId="0" applyFont="1" applyBorder="1"/>
    <xf numFmtId="0" fontId="0" fillId="0" borderId="87" xfId="0" applyBorder="1" applyAlignment="1">
      <alignment horizontal="left"/>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center"/>
    </xf>
    <xf numFmtId="0" fontId="0" fillId="0" borderId="57" xfId="0" applyBorder="1" applyAlignment="1">
      <alignment horizontal="left" vertical="center"/>
    </xf>
    <xf numFmtId="0" fontId="0" fillId="0" borderId="87" xfId="0" applyBorder="1" applyAlignment="1">
      <alignment horizontal="left" vertical="center" wrapText="1"/>
    </xf>
    <xf numFmtId="0" fontId="0" fillId="0" borderId="56" xfId="0" applyBorder="1" applyAlignment="1">
      <alignment horizontal="left" vertical="center"/>
    </xf>
    <xf numFmtId="0" fontId="0" fillId="0" borderId="57" xfId="0" applyBorder="1"/>
    <xf numFmtId="0" fontId="0" fillId="0" borderId="87" xfId="0" applyBorder="1" applyAlignment="1">
      <alignment wrapText="1"/>
    </xf>
    <xf numFmtId="0" fontId="0" fillId="0" borderId="5" xfId="0" applyBorder="1"/>
    <xf numFmtId="0" fontId="0" fillId="0" borderId="56" xfId="0" applyBorder="1" applyAlignment="1">
      <alignment wrapText="1"/>
    </xf>
    <xf numFmtId="0" fontId="0" fillId="0" borderId="7" xfId="0" applyBorder="1"/>
    <xf numFmtId="0" fontId="0" fillId="0" borderId="59" xfId="0" applyBorder="1" applyAlignment="1">
      <alignment horizontal="left" vertical="center"/>
    </xf>
    <xf numFmtId="0" fontId="0" fillId="0" borderId="5" xfId="0" applyBorder="1" applyAlignment="1">
      <alignment horizontal="left" vertical="center"/>
    </xf>
    <xf numFmtId="0" fontId="0" fillId="0" borderId="56" xfId="0" applyBorder="1"/>
    <xf numFmtId="0" fontId="0" fillId="0" borderId="58" xfId="0" applyBorder="1" applyAlignment="1">
      <alignment horizontal="center" vertical="center"/>
    </xf>
    <xf numFmtId="0" fontId="0" fillId="0" borderId="59" xfId="0" applyBorder="1" applyAlignment="1">
      <alignment horizontal="center" vertical="center"/>
    </xf>
    <xf numFmtId="0" fontId="0" fillId="0" borderId="5" xfId="0" applyBorder="1" applyAlignment="1">
      <alignment horizontal="center" vertical="center"/>
    </xf>
    <xf numFmtId="0" fontId="13" fillId="0" borderId="6" xfId="2" applyBorder="1" applyAlignment="1">
      <alignment horizontal="center" vertical="center"/>
    </xf>
    <xf numFmtId="0" fontId="13" fillId="0" borderId="7" xfId="2" applyBorder="1" applyAlignment="1">
      <alignment horizontal="center" vertical="center"/>
    </xf>
    <xf numFmtId="0" fontId="10" fillId="15" borderId="0" xfId="0" applyFont="1" applyFill="1" applyAlignment="1">
      <alignment horizontal="center" vertical="center" wrapText="1"/>
    </xf>
    <xf numFmtId="0" fontId="10" fillId="15" borderId="10" xfId="0" applyFont="1" applyFill="1" applyBorder="1" applyAlignment="1">
      <alignment horizontal="center" vertical="center" wrapText="1"/>
    </xf>
    <xf numFmtId="0" fontId="36" fillId="15" borderId="28" xfId="0" applyFont="1" applyFill="1" applyBorder="1" applyAlignment="1">
      <alignment horizontal="center"/>
    </xf>
    <xf numFmtId="0" fontId="36" fillId="15" borderId="0" xfId="0" applyFont="1" applyFill="1" applyAlignment="1">
      <alignment horizontal="center"/>
    </xf>
    <xf numFmtId="0" fontId="36" fillId="15" borderId="10" xfId="0" applyFont="1" applyFill="1" applyBorder="1" applyAlignment="1">
      <alignment horizontal="center"/>
    </xf>
    <xf numFmtId="0" fontId="10" fillId="15" borderId="28" xfId="0" applyFont="1" applyFill="1" applyBorder="1" applyAlignment="1">
      <alignment horizontal="center"/>
    </xf>
    <xf numFmtId="0" fontId="10" fillId="15" borderId="0" xfId="0" applyFont="1" applyFill="1" applyAlignment="1">
      <alignment horizontal="center"/>
    </xf>
    <xf numFmtId="0" fontId="10" fillId="15" borderId="10" xfId="0" applyFont="1" applyFill="1" applyBorder="1" applyAlignment="1">
      <alignment horizontal="center"/>
    </xf>
    <xf numFmtId="0" fontId="6" fillId="0" borderId="57" xfId="0" applyFont="1" applyBorder="1" applyAlignment="1">
      <alignment horizontal="left" vertical="center"/>
    </xf>
    <xf numFmtId="0" fontId="6" fillId="0" borderId="87" xfId="0" applyFont="1" applyBorder="1" applyAlignment="1">
      <alignment horizontal="left"/>
    </xf>
    <xf numFmtId="0" fontId="6" fillId="0" borderId="87" xfId="0" applyFont="1" applyBorder="1" applyAlignment="1">
      <alignment horizontal="left" vertical="center"/>
    </xf>
    <xf numFmtId="0" fontId="6" fillId="0" borderId="87" xfId="0" applyFont="1" applyBorder="1"/>
    <xf numFmtId="0" fontId="6" fillId="0" borderId="56" xfId="0" applyFont="1" applyBorder="1" applyAlignment="1">
      <alignment horizontal="left" vertical="center"/>
    </xf>
    <xf numFmtId="0" fontId="6" fillId="0" borderId="57" xfId="0" applyFont="1" applyBorder="1"/>
    <xf numFmtId="0" fontId="8" fillId="0" borderId="87" xfId="0" applyFont="1" applyBorder="1"/>
    <xf numFmtId="0" fontId="6" fillId="0" borderId="56" xfId="0" applyFont="1" applyBorder="1"/>
    <xf numFmtId="0" fontId="6" fillId="0" borderId="87" xfId="0" applyFont="1" applyBorder="1" applyAlignment="1">
      <alignment horizontal="left" vertical="center" wrapText="1"/>
    </xf>
    <xf numFmtId="0" fontId="6" fillId="0" borderId="56" xfId="0" applyFont="1" applyBorder="1" applyAlignment="1">
      <alignment horizontal="left" vertical="center" wrapText="1"/>
    </xf>
    <xf numFmtId="0" fontId="10" fillId="15" borderId="14" xfId="0" applyFont="1" applyFill="1" applyBorder="1" applyAlignment="1">
      <alignment horizontal="center" vertical="center"/>
    </xf>
    <xf numFmtId="0" fontId="6" fillId="8" borderId="0" xfId="0" applyFont="1" applyFill="1" applyAlignment="1">
      <alignment horizontal="left" vertical="center"/>
    </xf>
    <xf numFmtId="0" fontId="36" fillId="15" borderId="11" xfId="0" applyFont="1" applyFill="1" applyBorder="1" applyAlignment="1">
      <alignment horizontal="center" vertical="center"/>
    </xf>
    <xf numFmtId="0" fontId="10" fillId="15" borderId="13"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2" fillId="0" borderId="9" xfId="0" applyFont="1" applyBorder="1" applyAlignment="1">
      <alignment horizontal="left" vertical="center"/>
    </xf>
    <xf numFmtId="0" fontId="17" fillId="8" borderId="0" xfId="0" applyFont="1" applyFill="1" applyAlignment="1">
      <alignment horizontal="center" vertical="center"/>
    </xf>
    <xf numFmtId="165" fontId="22" fillId="0" borderId="5" xfId="0" applyNumberFormat="1" applyFont="1" applyBorder="1" applyAlignment="1">
      <alignment horizontal="center" vertical="center"/>
    </xf>
    <xf numFmtId="165" fontId="21" fillId="0" borderId="5" xfId="0" applyNumberFormat="1" applyFont="1" applyBorder="1" applyAlignment="1">
      <alignment horizontal="center" vertical="center"/>
    </xf>
    <xf numFmtId="165" fontId="21" fillId="0" borderId="7" xfId="0" applyNumberFormat="1" applyFont="1" applyBorder="1" applyAlignment="1">
      <alignment horizontal="center" vertical="center"/>
    </xf>
    <xf numFmtId="0" fontId="0" fillId="0" borderId="19" xfId="0" applyBorder="1" applyAlignment="1">
      <alignment horizontal="left" vertical="center"/>
    </xf>
    <xf numFmtId="0" fontId="0" fillId="0" borderId="35" xfId="0"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19" xfId="0" applyFont="1" applyBorder="1" applyAlignment="1">
      <alignment horizontal="left" vertical="center"/>
    </xf>
    <xf numFmtId="0" fontId="2" fillId="15" borderId="25" xfId="0" applyFont="1" applyFill="1" applyBorder="1"/>
    <xf numFmtId="0" fontId="36" fillId="15" borderId="25" xfId="0" applyFont="1" applyFill="1" applyBorder="1" applyAlignment="1">
      <alignment horizontal="center"/>
    </xf>
    <xf numFmtId="0" fontId="36" fillId="15" borderId="13" xfId="0" applyFont="1" applyFill="1" applyBorder="1" applyAlignment="1">
      <alignment horizontal="center"/>
    </xf>
    <xf numFmtId="0" fontId="36" fillId="15" borderId="14" xfId="0" applyFont="1" applyFill="1" applyBorder="1" applyAlignment="1">
      <alignment horizontal="center"/>
    </xf>
    <xf numFmtId="0" fontId="6" fillId="0" borderId="19" xfId="0" applyFont="1" applyBorder="1"/>
    <xf numFmtId="0" fontId="0" fillId="0" borderId="17" xfId="0" applyBorder="1" applyAlignment="1">
      <alignment horizontal="center" vertical="center"/>
    </xf>
    <xf numFmtId="0" fontId="0" fillId="0" borderId="35" xfId="0" applyBorder="1" applyAlignment="1">
      <alignment horizontal="center" vertical="center"/>
    </xf>
    <xf numFmtId="0" fontId="10" fillId="15" borderId="25" xfId="0" applyFont="1" applyFill="1" applyBorder="1" applyAlignment="1">
      <alignment horizontal="center"/>
    </xf>
    <xf numFmtId="0" fontId="10" fillId="15" borderId="13" xfId="0" applyFont="1" applyFill="1" applyBorder="1" applyAlignment="1">
      <alignment horizontal="center"/>
    </xf>
    <xf numFmtId="0" fontId="10" fillId="15" borderId="14" xfId="0" applyFont="1" applyFill="1" applyBorder="1" applyAlignment="1">
      <alignment horizontal="center"/>
    </xf>
    <xf numFmtId="0" fontId="2" fillId="15" borderId="28" xfId="0" applyFont="1" applyFill="1" applyBorder="1"/>
    <xf numFmtId="0" fontId="0" fillId="0" borderId="19" xfId="0" applyBorder="1"/>
    <xf numFmtId="0" fontId="0" fillId="0" borderId="58" xfId="0" applyBorder="1" applyAlignment="1">
      <alignment horizontal="left" vertical="center"/>
    </xf>
    <xf numFmtId="0" fontId="0" fillId="0" borderId="6" xfId="0" applyBorder="1" applyAlignment="1">
      <alignment horizontal="left" vertical="center"/>
    </xf>
    <xf numFmtId="0" fontId="2" fillId="8" borderId="0" xfId="0" applyFont="1" applyFill="1"/>
    <xf numFmtId="1" fontId="0" fillId="9" borderId="0" xfId="0" applyNumberFormat="1" applyFill="1" applyAlignment="1">
      <alignment horizontal="center"/>
    </xf>
    <xf numFmtId="1" fontId="0" fillId="9" borderId="10" xfId="0" applyNumberFormat="1" applyFill="1" applyBorder="1" applyAlignment="1">
      <alignment horizontal="center"/>
    </xf>
    <xf numFmtId="0" fontId="21" fillId="9" borderId="0" xfId="0" applyFont="1" applyFill="1" applyAlignment="1">
      <alignment horizontal="center"/>
    </xf>
    <xf numFmtId="0" fontId="10" fillId="15" borderId="28" xfId="0" applyFont="1" applyFill="1" applyBorder="1" applyAlignment="1">
      <alignment horizontal="center" vertical="center" wrapText="1"/>
    </xf>
    <xf numFmtId="0" fontId="17" fillId="0" borderId="28" xfId="0" applyFont="1" applyBorder="1" applyAlignment="1">
      <alignment vertical="center"/>
    </xf>
    <xf numFmtId="0" fontId="17" fillId="0" borderId="37" xfId="0" applyFont="1" applyBorder="1" applyAlignment="1">
      <alignment horizontal="left" vertical="center"/>
    </xf>
    <xf numFmtId="0" fontId="17" fillId="0" borderId="37" xfId="0" applyFont="1" applyBorder="1" applyAlignment="1">
      <alignment horizontal="left" vertical="center" wrapText="1"/>
    </xf>
    <xf numFmtId="0" fontId="0" fillId="9" borderId="0" xfId="0" applyFill="1" applyAlignment="1">
      <alignment horizontal="left"/>
    </xf>
    <xf numFmtId="165" fontId="2" fillId="0" borderId="9" xfId="0" applyNumberFormat="1" applyFont="1" applyBorder="1" applyAlignment="1">
      <alignment horizontal="center" vertical="center"/>
    </xf>
    <xf numFmtId="165" fontId="0" fillId="0" borderId="37" xfId="0" applyNumberFormat="1" applyBorder="1" applyAlignment="1">
      <alignment horizontal="center" vertical="center"/>
    </xf>
    <xf numFmtId="165" fontId="0" fillId="9" borderId="37" xfId="0" applyNumberFormat="1" applyFill="1" applyBorder="1" applyAlignment="1">
      <alignment horizontal="center" vertical="center"/>
    </xf>
    <xf numFmtId="0" fontId="2" fillId="0" borderId="55" xfId="0" quotePrefix="1" applyFont="1" applyBorder="1" applyAlignment="1">
      <alignment horizontal="center" vertical="center" wrapText="1"/>
    </xf>
    <xf numFmtId="0" fontId="0" fillId="0" borderId="36" xfId="0" quotePrefix="1" applyBorder="1" applyAlignment="1">
      <alignment horizontal="center" vertical="center" wrapText="1"/>
    </xf>
    <xf numFmtId="0" fontId="0" fillId="0" borderId="36" xfId="2" quotePrefix="1" applyFont="1" applyFill="1" applyBorder="1" applyAlignment="1">
      <alignment horizontal="center" vertical="center" wrapText="1"/>
    </xf>
    <xf numFmtId="0" fontId="35" fillId="0" borderId="36" xfId="2" quotePrefix="1" applyFont="1" applyFill="1" applyBorder="1" applyAlignment="1">
      <alignment horizontal="center" vertical="center" wrapText="1"/>
    </xf>
    <xf numFmtId="0" fontId="0" fillId="0" borderId="36" xfId="0" applyBorder="1" applyAlignment="1">
      <alignment horizontal="center" vertical="center" wrapText="1"/>
    </xf>
    <xf numFmtId="0" fontId="17" fillId="0" borderId="42" xfId="0" applyFont="1" applyBorder="1" applyAlignment="1">
      <alignment horizontal="left" vertical="center" wrapText="1"/>
    </xf>
    <xf numFmtId="0" fontId="0" fillId="0" borderId="37" xfId="0" quotePrefix="1" applyBorder="1" applyAlignment="1">
      <alignment horizontal="left" vertical="center" wrapText="1"/>
    </xf>
    <xf numFmtId="0" fontId="0" fillId="0" borderId="37" xfId="0" quotePrefix="1" applyBorder="1" applyAlignment="1">
      <alignment horizontal="left" vertical="center"/>
    </xf>
    <xf numFmtId="0" fontId="17" fillId="0" borderId="108" xfId="0" applyFont="1" applyBorder="1" applyAlignment="1">
      <alignment horizontal="left" vertical="center"/>
    </xf>
    <xf numFmtId="0" fontId="0" fillId="0" borderId="55" xfId="0" applyBorder="1" applyAlignment="1">
      <alignment vertical="center" wrapText="1"/>
    </xf>
    <xf numFmtId="0" fontId="0" fillId="0" borderId="42" xfId="0" applyBorder="1" applyAlignment="1">
      <alignment vertical="center" wrapText="1"/>
    </xf>
    <xf numFmtId="0" fontId="17" fillId="9" borderId="28" xfId="0" applyFont="1" applyFill="1" applyBorder="1" applyAlignment="1">
      <alignment vertical="center"/>
    </xf>
    <xf numFmtId="0" fontId="17" fillId="9" borderId="25" xfId="0" applyFont="1" applyFill="1" applyBorder="1" applyAlignment="1">
      <alignment vertical="center"/>
    </xf>
    <xf numFmtId="0" fontId="17" fillId="9" borderId="13" xfId="0" applyFont="1" applyFill="1" applyBorder="1" applyAlignment="1">
      <alignment vertical="center" wrapText="1"/>
    </xf>
    <xf numFmtId="0" fontId="17" fillId="9" borderId="0" xfId="0" applyFont="1" applyFill="1" applyAlignment="1">
      <alignment vertical="center"/>
    </xf>
    <xf numFmtId="0" fontId="17" fillId="9" borderId="0" xfId="0" applyFont="1" applyFill="1" applyAlignment="1">
      <alignment horizontal="left"/>
    </xf>
    <xf numFmtId="0" fontId="17" fillId="9" borderId="0" xfId="0" applyFont="1" applyFill="1" applyAlignment="1">
      <alignment vertical="center" wrapText="1"/>
    </xf>
    <xf numFmtId="165" fontId="17" fillId="0" borderId="37" xfId="0" applyNumberFormat="1" applyFont="1" applyBorder="1" applyAlignment="1">
      <alignment horizontal="center" vertical="center"/>
    </xf>
    <xf numFmtId="0" fontId="17" fillId="0" borderId="36" xfId="0" quotePrefix="1" applyFont="1" applyBorder="1" applyAlignment="1">
      <alignment horizontal="center" vertical="center" wrapText="1"/>
    </xf>
    <xf numFmtId="0" fontId="17" fillId="0" borderId="36" xfId="2" quotePrefix="1" applyFont="1" applyFill="1" applyBorder="1" applyAlignment="1">
      <alignment horizontal="center" vertical="center" wrapText="1"/>
    </xf>
    <xf numFmtId="0" fontId="38" fillId="0" borderId="36" xfId="2" quotePrefix="1" applyFont="1" applyFill="1" applyBorder="1" applyAlignment="1">
      <alignment horizontal="center" vertical="center" wrapText="1"/>
    </xf>
    <xf numFmtId="0" fontId="17" fillId="0" borderId="36" xfId="0" applyFont="1" applyBorder="1" applyAlignment="1">
      <alignment horizontal="center" vertical="center" wrapText="1"/>
    </xf>
    <xf numFmtId="165" fontId="17" fillId="0" borderId="36" xfId="0" quotePrefix="1" applyNumberFormat="1" applyFont="1" applyBorder="1" applyAlignment="1">
      <alignment horizontal="center" vertical="center"/>
    </xf>
    <xf numFmtId="165" fontId="17" fillId="0" borderId="36" xfId="0" applyNumberFormat="1" applyFont="1" applyBorder="1" applyAlignment="1">
      <alignment horizontal="center" vertical="center"/>
    </xf>
    <xf numFmtId="0" fontId="17" fillId="0" borderId="36" xfId="0" applyFont="1" applyBorder="1" applyAlignment="1">
      <alignment horizontal="left" vertical="center" wrapText="1"/>
    </xf>
    <xf numFmtId="0" fontId="17" fillId="0" borderId="37" xfId="0" quotePrefix="1" applyFont="1" applyBorder="1" applyAlignment="1">
      <alignment horizontal="left" vertical="center"/>
    </xf>
    <xf numFmtId="0" fontId="29" fillId="0" borderId="36" xfId="2" applyFont="1" applyFill="1" applyBorder="1" applyAlignment="1">
      <alignment vertical="center" wrapText="1"/>
    </xf>
    <xf numFmtId="0" fontId="13" fillId="0" borderId="36" xfId="2" applyFill="1" applyBorder="1" applyAlignment="1">
      <alignment vertical="center" wrapText="1"/>
    </xf>
    <xf numFmtId="0" fontId="11" fillId="0" borderId="36" xfId="0" applyFont="1" applyBorder="1" applyAlignment="1">
      <alignment horizontal="left" vertical="center"/>
    </xf>
    <xf numFmtId="0" fontId="11" fillId="0" borderId="36" xfId="0" applyFont="1" applyBorder="1" applyAlignment="1">
      <alignment wrapText="1"/>
    </xf>
    <xf numFmtId="0" fontId="17" fillId="0" borderId="36" xfId="0" applyFont="1" applyBorder="1" applyAlignment="1">
      <alignment horizontal="left" vertical="center"/>
    </xf>
    <xf numFmtId="0" fontId="37" fillId="0" borderId="9" xfId="0" applyFont="1" applyBorder="1" applyAlignment="1">
      <alignment horizontal="left" vertical="center"/>
    </xf>
    <xf numFmtId="165" fontId="37" fillId="0" borderId="9" xfId="0" applyNumberFormat="1" applyFont="1" applyBorder="1" applyAlignment="1">
      <alignment horizontal="center" vertical="center"/>
    </xf>
    <xf numFmtId="0" fontId="37" fillId="0" borderId="107" xfId="0" quotePrefix="1" applyFont="1" applyBorder="1" applyAlignment="1">
      <alignment horizontal="center" vertical="center" wrapText="1"/>
    </xf>
    <xf numFmtId="0" fontId="0" fillId="0" borderId="107" xfId="0" applyBorder="1" applyAlignment="1">
      <alignment vertical="center" wrapText="1"/>
    </xf>
    <xf numFmtId="0" fontId="21" fillId="11" borderId="87" xfId="0" applyFont="1" applyFill="1" applyBorder="1" applyAlignment="1">
      <alignment horizontal="left" vertical="center"/>
    </xf>
    <xf numFmtId="0" fontId="21" fillId="11" borderId="56" xfId="0" applyFont="1" applyFill="1" applyBorder="1" applyAlignment="1">
      <alignment horizontal="left" vertical="center" wrapText="1"/>
    </xf>
    <xf numFmtId="165" fontId="22" fillId="0" borderId="35" xfId="0" applyNumberFormat="1" applyFont="1" applyBorder="1" applyAlignment="1">
      <alignment horizontal="center" vertical="center"/>
    </xf>
    <xf numFmtId="0" fontId="39" fillId="0" borderId="25" xfId="0" applyFont="1" applyBorder="1" applyAlignment="1">
      <alignment horizontal="center" vertical="center" wrapText="1"/>
    </xf>
    <xf numFmtId="0" fontId="39" fillId="0" borderId="13" xfId="0" applyFont="1" applyBorder="1" applyAlignment="1">
      <alignment horizontal="center" vertical="center" wrapText="1"/>
    </xf>
    <xf numFmtId="6" fontId="39" fillId="0" borderId="14" xfId="0" applyNumberFormat="1" applyFont="1" applyBorder="1" applyAlignment="1">
      <alignment horizontal="center" vertical="center" wrapText="1"/>
    </xf>
    <xf numFmtId="0" fontId="10" fillId="15" borderId="25"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8" xfId="0" applyBorder="1" applyAlignment="1">
      <alignment horizontal="center" vertical="center" wrapText="1"/>
    </xf>
    <xf numFmtId="6" fontId="0" fillId="0" borderId="12" xfId="0" applyNumberFormat="1" applyBorder="1" applyAlignment="1">
      <alignment horizontal="center" vertical="center" wrapText="1"/>
    </xf>
    <xf numFmtId="0" fontId="21" fillId="8" borderId="0" xfId="0" applyFont="1" applyFill="1"/>
    <xf numFmtId="0" fontId="1" fillId="15" borderId="28" xfId="0" applyFont="1" applyFill="1" applyBorder="1"/>
    <xf numFmtId="0" fontId="1" fillId="15" borderId="25" xfId="0" applyFont="1" applyFill="1" applyBorder="1"/>
    <xf numFmtId="2" fontId="31" fillId="11" borderId="14" xfId="0" applyNumberFormat="1" applyFont="1" applyFill="1" applyBorder="1" applyAlignment="1">
      <alignment horizontal="center" vertical="center"/>
    </xf>
    <xf numFmtId="0" fontId="0" fillId="9" borderId="86" xfId="0" applyFill="1" applyBorder="1"/>
    <xf numFmtId="0" fontId="0" fillId="9" borderId="9" xfId="0" applyFill="1" applyBorder="1"/>
    <xf numFmtId="0" fontId="0" fillId="9" borderId="34" xfId="0" applyFill="1" applyBorder="1"/>
    <xf numFmtId="0" fontId="21" fillId="9" borderId="84" xfId="0" applyFont="1" applyFill="1" applyBorder="1"/>
    <xf numFmtId="0" fontId="21" fillId="9" borderId="8" xfId="0" applyFont="1" applyFill="1" applyBorder="1"/>
    <xf numFmtId="0" fontId="21" fillId="9" borderId="31" xfId="0" applyFont="1" applyFill="1" applyBorder="1"/>
    <xf numFmtId="0" fontId="21" fillId="9" borderId="85" xfId="0" applyFont="1" applyFill="1" applyBorder="1" applyAlignment="1">
      <alignment horizontal="center"/>
    </xf>
    <xf numFmtId="0" fontId="21" fillId="9" borderId="29" xfId="0" applyFont="1" applyFill="1" applyBorder="1" applyAlignment="1">
      <alignment horizontal="center"/>
    </xf>
    <xf numFmtId="0" fontId="21" fillId="9" borderId="85" xfId="0" applyFont="1" applyFill="1" applyBorder="1" applyAlignment="1">
      <alignment vertical="center"/>
    </xf>
    <xf numFmtId="0" fontId="21" fillId="9" borderId="0" xfId="0" applyFont="1" applyFill="1" applyAlignment="1">
      <alignment vertical="center"/>
    </xf>
    <xf numFmtId="0" fontId="21" fillId="9" borderId="29" xfId="0" applyFont="1" applyFill="1" applyBorder="1" applyAlignment="1">
      <alignment vertical="center"/>
    </xf>
    <xf numFmtId="0" fontId="21" fillId="9" borderId="85" xfId="0" applyFont="1" applyFill="1" applyBorder="1"/>
    <xf numFmtId="0" fontId="21" fillId="9" borderId="0" xfId="0" applyFont="1" applyFill="1"/>
    <xf numFmtId="0" fontId="21" fillId="9" borderId="29" xfId="0" applyFont="1" applyFill="1" applyBorder="1"/>
    <xf numFmtId="0" fontId="39" fillId="8" borderId="0" xfId="0" applyFont="1" applyFill="1" applyAlignment="1">
      <alignment horizontal="center" vertical="center" wrapText="1"/>
    </xf>
    <xf numFmtId="0" fontId="6" fillId="8" borderId="0" xfId="0" applyFont="1" applyFill="1" applyAlignment="1">
      <alignment horizontal="center" vertical="center" textRotation="90"/>
    </xf>
    <xf numFmtId="2" fontId="0" fillId="11" borderId="14" xfId="0" applyNumberFormat="1" applyFill="1" applyBorder="1" applyAlignment="1">
      <alignment horizontal="center" vertical="center"/>
    </xf>
    <xf numFmtId="0" fontId="27" fillId="8" borderId="0" xfId="0" applyFont="1" applyFill="1" applyAlignment="1">
      <alignment vertical="center"/>
    </xf>
    <xf numFmtId="0" fontId="9" fillId="8" borderId="0" xfId="0" applyFont="1" applyFill="1" applyAlignment="1">
      <alignment vertical="center" textRotation="90" wrapText="1"/>
    </xf>
    <xf numFmtId="1" fontId="22" fillId="8" borderId="0" xfId="0" applyNumberFormat="1" applyFont="1" applyFill="1" applyAlignment="1">
      <alignment horizontal="center" vertical="center"/>
    </xf>
    <xf numFmtId="1" fontId="21" fillId="8" borderId="0" xfId="0" applyNumberFormat="1" applyFont="1" applyFill="1" applyAlignment="1">
      <alignment horizontal="center" vertical="center"/>
    </xf>
    <xf numFmtId="168" fontId="0" fillId="8" borderId="0" xfId="0" applyNumberFormat="1" applyFill="1" applyAlignment="1">
      <alignment horizontal="center" vertical="center"/>
    </xf>
    <xf numFmtId="0" fontId="21" fillId="11" borderId="57" xfId="0" applyFont="1" applyFill="1" applyBorder="1" applyAlignment="1">
      <alignment horizontal="center" vertical="center"/>
    </xf>
    <xf numFmtId="0" fontId="21" fillId="11" borderId="59" xfId="0" applyFont="1" applyFill="1" applyBorder="1" applyAlignment="1">
      <alignment horizontal="center" vertical="center"/>
    </xf>
    <xf numFmtId="0" fontId="21" fillId="11" borderId="59" xfId="0" applyFont="1" applyFill="1" applyBorder="1" applyAlignment="1">
      <alignment horizontal="center" vertical="center" wrapText="1"/>
    </xf>
    <xf numFmtId="0" fontId="0" fillId="0" borderId="56" xfId="0" applyBorder="1" applyAlignment="1">
      <alignment horizontal="left" vertical="center" wrapText="1"/>
    </xf>
    <xf numFmtId="0" fontId="21" fillId="11" borderId="7" xfId="0" applyFont="1" applyFill="1" applyBorder="1" applyAlignment="1">
      <alignment horizontal="center" vertical="center" wrapText="1"/>
    </xf>
    <xf numFmtId="0" fontId="0" fillId="9" borderId="29" xfId="0" applyFill="1" applyBorder="1" applyAlignment="1">
      <alignment horizontal="center" vertical="center" wrapText="1"/>
    </xf>
    <xf numFmtId="0" fontId="10" fillId="8" borderId="0" xfId="0" applyFont="1" applyFill="1" applyAlignment="1">
      <alignment horizontal="center" vertical="center"/>
    </xf>
    <xf numFmtId="0" fontId="40" fillId="4" borderId="0" xfId="0" applyFont="1" applyFill="1"/>
    <xf numFmtId="0" fontId="40" fillId="4" borderId="0" xfId="0" applyFont="1" applyFill="1" applyAlignment="1">
      <alignment vertical="center" wrapText="1"/>
    </xf>
    <xf numFmtId="0" fontId="10" fillId="8" borderId="0" xfId="0" applyFont="1" applyFill="1" applyAlignment="1">
      <alignment horizontal="center" vertical="center" wrapText="1"/>
    </xf>
    <xf numFmtId="0" fontId="0" fillId="8" borderId="0" xfId="0" applyFill="1" applyAlignment="1">
      <alignment vertical="top" wrapText="1"/>
    </xf>
    <xf numFmtId="165" fontId="22" fillId="8" borderId="0" xfId="0" applyNumberFormat="1" applyFont="1" applyFill="1" applyAlignment="1">
      <alignment horizontal="center" vertical="center"/>
    </xf>
    <xf numFmtId="2" fontId="22" fillId="8" borderId="0" xfId="0" applyNumberFormat="1" applyFont="1" applyFill="1" applyAlignment="1">
      <alignment horizontal="center" vertical="center"/>
    </xf>
    <xf numFmtId="2" fontId="21" fillId="8" borderId="0" xfId="0" applyNumberFormat="1" applyFont="1" applyFill="1" applyAlignment="1">
      <alignment horizontal="center" vertical="center"/>
    </xf>
    <xf numFmtId="0" fontId="21" fillId="11" borderId="87" xfId="0" applyFont="1" applyFill="1" applyBorder="1" applyAlignment="1">
      <alignment vertical="center"/>
    </xf>
    <xf numFmtId="0" fontId="21" fillId="11" borderId="56" xfId="0" applyFont="1" applyFill="1" applyBorder="1" applyAlignment="1">
      <alignment vertical="center" wrapText="1"/>
    </xf>
    <xf numFmtId="0" fontId="21" fillId="11" borderId="32"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8" borderId="0" xfId="0" applyFont="1" applyFill="1" applyAlignment="1">
      <alignment vertical="center" wrapText="1"/>
    </xf>
    <xf numFmtId="165" fontId="28" fillId="11" borderId="13" xfId="0" applyNumberFormat="1" applyFont="1" applyFill="1" applyBorder="1" applyAlignment="1">
      <alignment horizontal="center" vertical="center" wrapText="1"/>
    </xf>
    <xf numFmtId="0" fontId="0" fillId="9" borderId="29" xfId="0" applyFill="1" applyBorder="1" applyAlignment="1">
      <alignment vertical="center" wrapText="1"/>
    </xf>
    <xf numFmtId="0" fontId="0" fillId="9" borderId="16" xfId="0" applyFill="1" applyBorder="1" applyAlignment="1">
      <alignment vertical="center" wrapText="1"/>
    </xf>
    <xf numFmtId="2" fontId="17" fillId="9" borderId="29" xfId="0" applyNumberFormat="1" applyFont="1" applyFill="1" applyBorder="1" applyAlignment="1">
      <alignment horizontal="center" vertical="center"/>
    </xf>
    <xf numFmtId="2" fontId="0" fillId="9" borderId="29" xfId="0" applyNumberFormat="1" applyFill="1" applyBorder="1" applyAlignment="1">
      <alignment horizontal="center" vertical="center"/>
    </xf>
    <xf numFmtId="2" fontId="0" fillId="9" borderId="29" xfId="0" applyNumberFormat="1" applyFill="1" applyBorder="1" applyAlignment="1">
      <alignment horizontal="center" vertical="center" wrapText="1"/>
    </xf>
    <xf numFmtId="0" fontId="7" fillId="11" borderId="13" xfId="0" applyFont="1" applyFill="1" applyBorder="1" applyAlignment="1">
      <alignment horizontal="right" vertical="center" wrapText="1"/>
    </xf>
    <xf numFmtId="0" fontId="8" fillId="12" borderId="0" xfId="0" applyFont="1" applyFill="1" applyAlignment="1">
      <alignment horizontal="center" vertical="center"/>
    </xf>
    <xf numFmtId="165" fontId="17" fillId="9" borderId="10" xfId="0" applyNumberFormat="1" applyFont="1" applyFill="1" applyBorder="1" applyAlignment="1">
      <alignment horizontal="center" vertical="center"/>
    </xf>
    <xf numFmtId="165" fontId="28" fillId="9" borderId="10" xfId="0" applyNumberFormat="1" applyFont="1" applyFill="1" applyBorder="1" applyAlignment="1">
      <alignment horizontal="center" vertical="center" wrapText="1"/>
    </xf>
    <xf numFmtId="0" fontId="7" fillId="9" borderId="13" xfId="0" applyFont="1" applyFill="1" applyBorder="1" applyAlignment="1">
      <alignment horizontal="right" vertical="center"/>
    </xf>
    <xf numFmtId="165" fontId="28" fillId="9" borderId="14" xfId="0" applyNumberFormat="1" applyFont="1" applyFill="1" applyBorder="1" applyAlignment="1">
      <alignment horizontal="center" vertical="center" wrapText="1"/>
    </xf>
    <xf numFmtId="0" fontId="17" fillId="9" borderId="29" xfId="0" applyFont="1" applyFill="1" applyBorder="1" applyAlignment="1">
      <alignment vertical="center"/>
    </xf>
    <xf numFmtId="0" fontId="17" fillId="9" borderId="29" xfId="0" applyFont="1" applyFill="1" applyBorder="1" applyAlignment="1">
      <alignment horizontal="center" vertical="center"/>
    </xf>
    <xf numFmtId="165" fontId="0" fillId="9" borderId="29" xfId="0" applyNumberFormat="1" applyFill="1" applyBorder="1" applyAlignment="1">
      <alignment horizontal="center" vertical="center" wrapText="1"/>
    </xf>
    <xf numFmtId="0" fontId="21" fillId="11" borderId="87" xfId="0" applyFont="1" applyFill="1" applyBorder="1" applyAlignment="1">
      <alignment vertical="center" wrapText="1"/>
    </xf>
    <xf numFmtId="165" fontId="22" fillId="0" borderId="11" xfId="0" applyNumberFormat="1" applyFont="1" applyBorder="1" applyAlignment="1">
      <alignment horizontal="center" vertical="center"/>
    </xf>
    <xf numFmtId="165" fontId="22" fillId="0" borderId="38" xfId="0" applyNumberFormat="1" applyFont="1" applyBorder="1" applyAlignment="1">
      <alignment horizontal="center" vertical="center"/>
    </xf>
    <xf numFmtId="2" fontId="22" fillId="0" borderId="5"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21" fillId="0" borderId="7" xfId="0" applyNumberFormat="1" applyFont="1" applyBorder="1" applyAlignment="1">
      <alignment horizontal="center" vertical="center"/>
    </xf>
    <xf numFmtId="1" fontId="22" fillId="0" borderId="5" xfId="0" applyNumberFormat="1" applyFont="1" applyBorder="1" applyAlignment="1">
      <alignment horizontal="center" vertical="center"/>
    </xf>
    <xf numFmtId="1" fontId="21" fillId="0" borderId="7" xfId="0" applyNumberFormat="1" applyFont="1" applyBorder="1" applyAlignment="1">
      <alignment horizontal="center" vertical="center"/>
    </xf>
    <xf numFmtId="0" fontId="0" fillId="0" borderId="7" xfId="0" applyBorder="1" applyAlignment="1">
      <alignment vertical="center"/>
    </xf>
    <xf numFmtId="0" fontId="0" fillId="0" borderId="5" xfId="0" applyBorder="1" applyAlignment="1">
      <alignment vertical="center"/>
    </xf>
    <xf numFmtId="0" fontId="10" fillId="15" borderId="25" xfId="0" applyFont="1" applyFill="1" applyBorder="1" applyAlignment="1">
      <alignment vertical="center" wrapText="1"/>
    </xf>
    <xf numFmtId="0" fontId="6" fillId="0" borderId="57" xfId="0" applyFont="1" applyBorder="1" applyAlignment="1">
      <alignment horizontal="center" vertical="center" wrapText="1"/>
    </xf>
    <xf numFmtId="0" fontId="41" fillId="0" borderId="56" xfId="0" applyFont="1" applyBorder="1" applyAlignment="1">
      <alignment horizontal="center" vertical="center" wrapText="1"/>
    </xf>
    <xf numFmtId="0" fontId="36" fillId="15" borderId="14" xfId="0" applyFont="1" applyFill="1" applyBorder="1" applyAlignment="1">
      <alignment horizontal="center" vertical="center"/>
    </xf>
    <xf numFmtId="165" fontId="0" fillId="9" borderId="1" xfId="0" applyNumberFormat="1" applyFill="1" applyBorder="1" applyAlignment="1">
      <alignment horizontal="center" vertical="center"/>
    </xf>
    <xf numFmtId="165" fontId="0" fillId="9" borderId="6" xfId="0" applyNumberFormat="1" applyFill="1" applyBorder="1" applyAlignment="1">
      <alignment horizontal="center" vertical="center"/>
    </xf>
    <xf numFmtId="0" fontId="6" fillId="0" borderId="57" xfId="0" applyFont="1" applyBorder="1" applyAlignment="1">
      <alignment vertical="center" wrapText="1"/>
    </xf>
    <xf numFmtId="0" fontId="0" fillId="0" borderId="46" xfId="0" applyBorder="1" applyAlignment="1">
      <alignment vertical="center"/>
    </xf>
    <xf numFmtId="165" fontId="0" fillId="9" borderId="58" xfId="0" applyNumberFormat="1" applyFill="1" applyBorder="1" applyAlignment="1">
      <alignment horizontal="center"/>
    </xf>
    <xf numFmtId="0" fontId="0" fillId="9" borderId="16" xfId="0" applyFill="1" applyBorder="1" applyAlignment="1">
      <alignment wrapText="1"/>
    </xf>
    <xf numFmtId="0" fontId="0" fillId="9" borderId="16" xfId="0" applyFill="1" applyBorder="1" applyAlignment="1">
      <alignment horizontal="center"/>
    </xf>
    <xf numFmtId="0" fontId="0" fillId="9" borderId="10" xfId="0" applyFill="1" applyBorder="1"/>
    <xf numFmtId="0" fontId="0" fillId="9" borderId="14" xfId="0" applyFill="1" applyBorder="1"/>
    <xf numFmtId="165" fontId="21" fillId="9" borderId="12" xfId="0" applyNumberFormat="1" applyFont="1" applyFill="1" applyBorder="1" applyAlignment="1">
      <alignment horizontal="center" vertical="center"/>
    </xf>
    <xf numFmtId="0" fontId="21" fillId="11" borderId="19" xfId="0" applyFont="1" applyFill="1" applyBorder="1" applyAlignment="1">
      <alignment horizontal="center" vertical="center" wrapText="1"/>
    </xf>
    <xf numFmtId="0" fontId="36" fillId="15" borderId="10" xfId="0" applyFont="1" applyFill="1" applyBorder="1" applyAlignment="1">
      <alignment horizontal="center" vertical="center"/>
    </xf>
    <xf numFmtId="0" fontId="0" fillId="0" borderId="57" xfId="0" applyBorder="1" applyAlignment="1">
      <alignment horizontal="left" vertical="center" wrapText="1"/>
    </xf>
    <xf numFmtId="0" fontId="21" fillId="11" borderId="56" xfId="0" applyFont="1" applyFill="1" applyBorder="1" applyAlignment="1">
      <alignment vertical="center"/>
    </xf>
    <xf numFmtId="0" fontId="21" fillId="11" borderId="87" xfId="0" applyFont="1" applyFill="1" applyBorder="1"/>
    <xf numFmtId="0" fontId="21" fillId="11" borderId="82" xfId="0" applyFont="1" applyFill="1" applyBorder="1" applyAlignment="1">
      <alignment horizontal="center" vertical="center"/>
    </xf>
    <xf numFmtId="0" fontId="21" fillId="4" borderId="11" xfId="0" applyFont="1" applyFill="1" applyBorder="1" applyAlignment="1">
      <alignment horizontal="center" vertical="center" wrapText="1"/>
    </xf>
    <xf numFmtId="0" fontId="21" fillId="6" borderId="116" xfId="0" applyFont="1" applyFill="1" applyBorder="1" applyAlignment="1">
      <alignment horizontal="center" vertical="center" wrapText="1"/>
    </xf>
    <xf numFmtId="0" fontId="34" fillId="8" borderId="0" xfId="0" applyFont="1" applyFill="1" applyAlignment="1">
      <alignment vertical="center"/>
    </xf>
    <xf numFmtId="0" fontId="21" fillId="11" borderId="107" xfId="0" applyFont="1" applyFill="1" applyBorder="1" applyAlignment="1">
      <alignment horizontal="center" vertical="center" wrapText="1"/>
    </xf>
    <xf numFmtId="165" fontId="21" fillId="8" borderId="0" xfId="1" applyNumberFormat="1" applyFont="1" applyFill="1" applyBorder="1" applyAlignment="1">
      <alignment horizontal="center" vertical="center"/>
    </xf>
    <xf numFmtId="165" fontId="21" fillId="9" borderId="96" xfId="5" applyNumberFormat="1" applyFont="1" applyFill="1" applyBorder="1" applyAlignment="1">
      <alignment horizontal="center" vertical="center"/>
    </xf>
    <xf numFmtId="165" fontId="21" fillId="9" borderId="97" xfId="5" applyNumberFormat="1" applyFont="1" applyFill="1" applyBorder="1" applyAlignment="1">
      <alignment horizontal="center" vertical="center"/>
    </xf>
    <xf numFmtId="165" fontId="21" fillId="9" borderId="92" xfId="5" applyNumberFormat="1" applyFont="1" applyFill="1" applyBorder="1" applyAlignment="1">
      <alignment horizontal="center" vertical="center"/>
    </xf>
    <xf numFmtId="165" fontId="21" fillId="9" borderId="93" xfId="5" applyNumberFormat="1" applyFont="1" applyFill="1" applyBorder="1" applyAlignment="1">
      <alignment horizontal="center" vertical="center"/>
    </xf>
    <xf numFmtId="165" fontId="21" fillId="9" borderId="80" xfId="5" applyNumberFormat="1" applyFont="1" applyFill="1" applyBorder="1" applyAlignment="1">
      <alignment horizontal="center" vertical="center"/>
    </xf>
    <xf numFmtId="165" fontId="21" fillId="9" borderId="81" xfId="5" applyNumberFormat="1" applyFont="1" applyFill="1" applyBorder="1" applyAlignment="1">
      <alignment horizontal="center" vertical="center"/>
    </xf>
    <xf numFmtId="166" fontId="21" fillId="9" borderId="38" xfId="0" applyNumberFormat="1" applyFont="1" applyFill="1" applyBorder="1" applyAlignment="1">
      <alignment horizontal="center" vertical="center"/>
    </xf>
    <xf numFmtId="166" fontId="21" fillId="9" borderId="37" xfId="0" applyNumberFormat="1" applyFont="1" applyFill="1" applyBorder="1" applyAlignment="1">
      <alignment horizontal="center" vertical="center"/>
    </xf>
    <xf numFmtId="164" fontId="17" fillId="8" borderId="0" xfId="0" applyNumberFormat="1" applyFont="1" applyFill="1" applyAlignment="1">
      <alignment vertical="center"/>
    </xf>
    <xf numFmtId="0" fontId="0" fillId="0" borderId="87" xfId="0" applyBorder="1" applyAlignment="1">
      <alignment vertical="center" wrapText="1"/>
    </xf>
    <xf numFmtId="0" fontId="0" fillId="0" borderId="57" xfId="0" applyBorder="1" applyAlignment="1">
      <alignment vertical="center" wrapText="1"/>
    </xf>
    <xf numFmtId="0" fontId="0" fillId="0" borderId="56" xfId="0" applyBorder="1" applyAlignment="1">
      <alignment vertical="center" wrapText="1"/>
    </xf>
    <xf numFmtId="0" fontId="0" fillId="8" borderId="0" xfId="0" applyFill="1" applyAlignment="1">
      <alignment horizontal="center" wrapText="1"/>
    </xf>
    <xf numFmtId="165" fontId="0" fillId="9" borderId="59" xfId="0" applyNumberFormat="1" applyFill="1" applyBorder="1" applyAlignment="1">
      <alignment horizontal="center" vertical="center"/>
    </xf>
    <xf numFmtId="0" fontId="6" fillId="0" borderId="56" xfId="0" applyFont="1" applyBorder="1" applyAlignment="1">
      <alignment vertical="center" wrapText="1"/>
    </xf>
    <xf numFmtId="0" fontId="0" fillId="0" borderId="26" xfId="0" applyBorder="1" applyAlignment="1">
      <alignment vertical="center" wrapText="1"/>
    </xf>
    <xf numFmtId="0" fontId="0" fillId="9" borderId="17" xfId="0" applyFill="1" applyBorder="1" applyAlignment="1">
      <alignment horizontal="center" vertical="center"/>
    </xf>
    <xf numFmtId="0" fontId="0" fillId="9" borderId="28" xfId="0" applyFill="1" applyBorder="1" applyAlignment="1">
      <alignment horizontal="center" wrapText="1"/>
    </xf>
    <xf numFmtId="0" fontId="0" fillId="9" borderId="0" xfId="0" applyFill="1" applyAlignment="1">
      <alignment horizontal="center" wrapText="1"/>
    </xf>
    <xf numFmtId="0" fontId="0" fillId="9" borderId="10" xfId="0" applyFill="1" applyBorder="1" applyAlignment="1">
      <alignment horizontal="center" wrapText="1"/>
    </xf>
    <xf numFmtId="0" fontId="0" fillId="9" borderId="25" xfId="0" applyFill="1" applyBorder="1" applyAlignment="1">
      <alignment horizontal="center" wrapText="1"/>
    </xf>
    <xf numFmtId="0" fontId="0" fillId="9" borderId="13" xfId="0" applyFill="1" applyBorder="1" applyAlignment="1">
      <alignment horizontal="center" wrapText="1"/>
    </xf>
    <xf numFmtId="0" fontId="0" fillId="9" borderId="14" xfId="0" applyFill="1" applyBorder="1" applyAlignment="1">
      <alignment horizontal="center" wrapText="1"/>
    </xf>
    <xf numFmtId="1" fontId="0" fillId="5" borderId="38" xfId="0" applyNumberFormat="1" applyFill="1" applyBorder="1" applyAlignment="1" applyProtection="1">
      <alignment horizontal="center" vertical="center"/>
      <protection locked="0"/>
    </xf>
    <xf numFmtId="1" fontId="17" fillId="5" borderId="10" xfId="0" applyNumberFormat="1" applyFont="1" applyFill="1" applyBorder="1" applyAlignment="1" applyProtection="1">
      <alignment horizontal="center" vertical="center"/>
      <protection locked="0"/>
    </xf>
    <xf numFmtId="0" fontId="0" fillId="5" borderId="59"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165" fontId="0" fillId="5" borderId="36" xfId="0" applyNumberFormat="1" applyFill="1" applyBorder="1" applyAlignment="1" applyProtection="1">
      <alignment horizontal="center" vertical="center"/>
      <protection locked="0"/>
    </xf>
    <xf numFmtId="165" fontId="0" fillId="5" borderId="107" xfId="0" applyNumberFormat="1" applyFill="1" applyBorder="1" applyAlignment="1" applyProtection="1">
      <alignment horizontal="center" vertical="center"/>
      <protection locked="0"/>
    </xf>
    <xf numFmtId="165" fontId="0" fillId="5" borderId="42" xfId="0" applyNumberFormat="1" applyFill="1" applyBorder="1" applyAlignment="1" applyProtection="1">
      <alignment horizontal="center" vertical="center"/>
      <protection locked="0"/>
    </xf>
    <xf numFmtId="165" fontId="0" fillId="5" borderId="1" xfId="1" applyNumberFormat="1" applyFont="1" applyFill="1" applyBorder="1" applyAlignment="1" applyProtection="1">
      <alignment horizontal="center" vertical="center"/>
      <protection locked="0"/>
    </xf>
    <xf numFmtId="165" fontId="0" fillId="5" borderId="6" xfId="1" applyNumberFormat="1" applyFont="1" applyFill="1" applyBorder="1" applyAlignment="1" applyProtection="1">
      <alignment horizontal="center" vertical="center"/>
      <protection locked="0"/>
    </xf>
    <xf numFmtId="165" fontId="0" fillId="5" borderId="109" xfId="1" applyNumberFormat="1" applyFont="1"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10" fillId="15" borderId="13" xfId="0" applyFont="1" applyFill="1" applyBorder="1" applyAlignment="1">
      <alignment vertical="center"/>
    </xf>
    <xf numFmtId="0" fontId="6" fillId="15" borderId="14" xfId="0" applyFont="1" applyFill="1" applyBorder="1"/>
    <xf numFmtId="0" fontId="0" fillId="9" borderId="59"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5" borderId="33"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169" fontId="0" fillId="0" borderId="57" xfId="0" applyNumberFormat="1" applyBorder="1" applyAlignment="1" applyProtection="1">
      <alignment horizontal="center"/>
      <protection locked="0"/>
    </xf>
    <xf numFmtId="169" fontId="0" fillId="0" borderId="58" xfId="0" applyNumberFormat="1" applyBorder="1" applyAlignment="1" applyProtection="1">
      <alignment horizontal="center"/>
      <protection locked="0"/>
    </xf>
    <xf numFmtId="169" fontId="0" fillId="0" borderId="59" xfId="0" applyNumberFormat="1" applyBorder="1" applyAlignment="1" applyProtection="1">
      <alignment horizontal="center"/>
      <protection locked="0"/>
    </xf>
    <xf numFmtId="169" fontId="0" fillId="0" borderId="87" xfId="0" applyNumberFormat="1" applyBorder="1" applyAlignment="1" applyProtection="1">
      <alignment horizontal="center"/>
      <protection locked="0"/>
    </xf>
    <xf numFmtId="169" fontId="0" fillId="0" borderId="1" xfId="0" applyNumberFormat="1" applyBorder="1" applyAlignment="1" applyProtection="1">
      <alignment horizontal="center"/>
      <protection locked="0"/>
    </xf>
    <xf numFmtId="169" fontId="0" fillId="0" borderId="5" xfId="0" applyNumberFormat="1" applyBorder="1" applyAlignment="1" applyProtection="1">
      <alignment horizontal="center"/>
      <protection locked="0"/>
    </xf>
    <xf numFmtId="169" fontId="0" fillId="0" borderId="56" xfId="0" applyNumberFormat="1" applyBorder="1" applyAlignment="1" applyProtection="1">
      <alignment horizontal="center"/>
      <protection locked="0"/>
    </xf>
    <xf numFmtId="169" fontId="0" fillId="0" borderId="6" xfId="0" applyNumberFormat="1" applyBorder="1" applyAlignment="1" applyProtection="1">
      <alignment horizontal="center"/>
      <protection locked="0"/>
    </xf>
    <xf numFmtId="169" fontId="0" fillId="0" borderId="7" xfId="0" applyNumberFormat="1" applyBorder="1" applyAlignment="1" applyProtection="1">
      <alignment horizontal="center"/>
      <protection locked="0"/>
    </xf>
    <xf numFmtId="169" fontId="0" fillId="0" borderId="57" xfId="0" applyNumberFormat="1" applyBorder="1" applyAlignment="1" applyProtection="1">
      <alignment horizontal="center" vertical="center"/>
      <protection locked="0"/>
    </xf>
    <xf numFmtId="169" fontId="0" fillId="0" borderId="58" xfId="0" applyNumberFormat="1" applyBorder="1" applyAlignment="1" applyProtection="1">
      <alignment horizontal="center" vertical="center"/>
      <protection locked="0"/>
    </xf>
    <xf numFmtId="169" fontId="0" fillId="0" borderId="59" xfId="0" applyNumberFormat="1" applyBorder="1" applyAlignment="1" applyProtection="1">
      <alignment horizontal="center" vertical="center"/>
      <protection locked="0"/>
    </xf>
    <xf numFmtId="169" fontId="0" fillId="0" borderId="87" xfId="0" applyNumberFormat="1" applyBorder="1" applyAlignment="1" applyProtection="1">
      <alignment horizontal="center" vertical="center"/>
      <protection locked="0"/>
    </xf>
    <xf numFmtId="169" fontId="0" fillId="0" borderId="1" xfId="0" applyNumberFormat="1" applyBorder="1" applyAlignment="1" applyProtection="1">
      <alignment horizontal="center" vertical="center"/>
      <protection locked="0"/>
    </xf>
    <xf numFmtId="169" fontId="0" fillId="0" borderId="5" xfId="0" applyNumberFormat="1" applyBorder="1" applyAlignment="1" applyProtection="1">
      <alignment horizontal="center" vertical="center"/>
      <protection locked="0"/>
    </xf>
    <xf numFmtId="169" fontId="0" fillId="0" borderId="56" xfId="0" applyNumberFormat="1" applyBorder="1" applyAlignment="1" applyProtection="1">
      <alignment horizontal="center" vertical="center"/>
      <protection locked="0"/>
    </xf>
    <xf numFmtId="169" fontId="0" fillId="0" borderId="6"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2" fillId="0" borderId="1" xfId="0" applyFont="1" applyBorder="1" applyAlignment="1" applyProtection="1">
      <alignment horizontal="center"/>
      <protection locked="0"/>
    </xf>
    <xf numFmtId="0" fontId="12" fillId="0" borderId="1" xfId="0" applyFont="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3" fontId="0" fillId="5" borderId="1" xfId="0" applyNumberFormat="1" applyFill="1" applyBorder="1" applyAlignment="1" applyProtection="1">
      <alignment horizontal="center" vertical="center"/>
      <protection locked="0"/>
    </xf>
    <xf numFmtId="3" fontId="0" fillId="5" borderId="5" xfId="0" applyNumberFormat="1" applyFill="1" applyBorder="1" applyAlignment="1" applyProtection="1">
      <alignment horizontal="center" vertical="center"/>
      <protection locked="0"/>
    </xf>
    <xf numFmtId="0" fontId="0" fillId="0" borderId="1" xfId="0" applyBorder="1" applyAlignment="1" applyProtection="1">
      <alignment horizontal="center"/>
      <protection locked="0"/>
    </xf>
    <xf numFmtId="1" fontId="0" fillId="0" borderId="5"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3" fillId="0" borderId="6" xfId="2" applyBorder="1" applyAlignment="1" applyProtection="1">
      <alignment horizontal="center" vertical="center"/>
      <protection locked="0"/>
    </xf>
    <xf numFmtId="0" fontId="13" fillId="0" borderId="7" xfId="2" applyBorder="1" applyAlignment="1" applyProtection="1">
      <alignment horizontal="center" vertical="center"/>
      <protection locked="0"/>
    </xf>
    <xf numFmtId="165" fontId="0" fillId="5" borderId="58" xfId="0" applyNumberFormat="1"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165" fontId="0" fillId="5" borderId="6" xfId="0" applyNumberFormat="1" applyFill="1" applyBorder="1" applyAlignment="1" applyProtection="1">
      <alignment horizontal="center" vertical="center"/>
      <protection locked="0"/>
    </xf>
    <xf numFmtId="2" fontId="0" fillId="5" borderId="58" xfId="0" applyNumberFormat="1" applyFill="1" applyBorder="1" applyAlignment="1" applyProtection="1">
      <alignment horizontal="center" vertical="center"/>
      <protection locked="0"/>
    </xf>
    <xf numFmtId="2" fontId="0" fillId="5" borderId="17" xfId="0" applyNumberFormat="1" applyFill="1" applyBorder="1" applyAlignment="1" applyProtection="1">
      <alignment horizontal="center" vertical="center"/>
      <protection locked="0"/>
    </xf>
    <xf numFmtId="166" fontId="0" fillId="5" borderId="1" xfId="0" applyNumberFormat="1" applyFill="1" applyBorder="1" applyAlignment="1" applyProtection="1">
      <alignment horizontal="center" vertical="center"/>
      <protection locked="0"/>
    </xf>
    <xf numFmtId="166" fontId="0" fillId="5" borderId="6" xfId="0" applyNumberFormat="1" applyFill="1" applyBorder="1" applyAlignment="1" applyProtection="1">
      <alignment horizontal="center" vertical="center"/>
      <protection locked="0"/>
    </xf>
    <xf numFmtId="165" fontId="0" fillId="5" borderId="59" xfId="0" applyNumberFormat="1" applyFill="1" applyBorder="1" applyAlignment="1" applyProtection="1">
      <alignment horizontal="center" vertical="center"/>
      <protection locked="0"/>
    </xf>
    <xf numFmtId="165" fontId="0" fillId="5" borderId="5" xfId="0" applyNumberFormat="1" applyFill="1" applyBorder="1" applyAlignment="1" applyProtection="1">
      <alignment horizontal="center" vertical="center"/>
      <protection locked="0"/>
    </xf>
    <xf numFmtId="0" fontId="0" fillId="5" borderId="1" xfId="0" applyFill="1" applyBorder="1" applyAlignment="1" applyProtection="1">
      <alignment horizontal="center"/>
      <protection locked="0"/>
    </xf>
    <xf numFmtId="165" fontId="0" fillId="5" borderId="5" xfId="1"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165" fontId="0" fillId="5" borderId="7" xfId="1" applyNumberFormat="1" applyFont="1" applyFill="1" applyBorder="1" applyAlignment="1" applyProtection="1">
      <alignment horizontal="center" vertical="center"/>
      <protection locked="0"/>
    </xf>
    <xf numFmtId="0" fontId="0" fillId="0" borderId="106" xfId="0" applyBorder="1" applyAlignment="1" applyProtection="1">
      <alignment horizontal="left" vertical="center"/>
      <protection locked="0"/>
    </xf>
    <xf numFmtId="0" fontId="0" fillId="0" borderId="111" xfId="0" applyBorder="1" applyAlignment="1" applyProtection="1">
      <alignment horizontal="left" vertical="center"/>
      <protection locked="0"/>
    </xf>
    <xf numFmtId="0" fontId="0" fillId="0" borderId="112" xfId="0" applyBorder="1" applyAlignment="1" applyProtection="1">
      <alignment horizontal="left" vertical="center"/>
      <protection locked="0"/>
    </xf>
    <xf numFmtId="0" fontId="0" fillId="9" borderId="35" xfId="0" applyFill="1" applyBorder="1" applyAlignment="1">
      <alignment horizontal="center" vertical="center"/>
    </xf>
    <xf numFmtId="0" fontId="0" fillId="9" borderId="1" xfId="0" applyFill="1" applyBorder="1" applyAlignment="1">
      <alignment horizontal="center" vertical="center"/>
    </xf>
    <xf numFmtId="0" fontId="12" fillId="9" borderId="1" xfId="0" applyFont="1" applyFill="1" applyBorder="1" applyAlignment="1">
      <alignment horizontal="center"/>
    </xf>
    <xf numFmtId="0" fontId="12" fillId="9" borderId="1" xfId="0" applyFont="1" applyFill="1" applyBorder="1" applyAlignment="1">
      <alignment horizontal="center" vertical="center"/>
    </xf>
    <xf numFmtId="0" fontId="0" fillId="9" borderId="6" xfId="0" applyFill="1" applyBorder="1" applyAlignment="1">
      <alignment horizontal="center" vertical="center"/>
    </xf>
    <xf numFmtId="3" fontId="0" fillId="9" borderId="1" xfId="0" applyNumberFormat="1" applyFill="1" applyBorder="1" applyAlignment="1">
      <alignment horizontal="center" vertical="center"/>
    </xf>
    <xf numFmtId="3" fontId="0" fillId="9" borderId="5" xfId="0" applyNumberFormat="1" applyFill="1" applyBorder="1" applyAlignment="1">
      <alignment horizontal="center" vertical="center"/>
    </xf>
    <xf numFmtId="2" fontId="0" fillId="9" borderId="5" xfId="0" applyNumberFormat="1" applyFill="1" applyBorder="1" applyAlignment="1">
      <alignment horizontal="center" vertical="center"/>
    </xf>
    <xf numFmtId="0" fontId="0" fillId="9" borderId="1" xfId="0" applyFill="1" applyBorder="1" applyAlignment="1">
      <alignment horizontal="center" vertical="center" wrapText="1"/>
    </xf>
    <xf numFmtId="0" fontId="0" fillId="9" borderId="5" xfId="0" applyFill="1" applyBorder="1" applyAlignment="1">
      <alignment horizontal="center" vertical="center" wrapText="1"/>
    </xf>
    <xf numFmtId="165" fontId="0" fillId="9" borderId="35" xfId="0" applyNumberFormat="1" applyFill="1" applyBorder="1" applyAlignment="1">
      <alignment horizontal="center" vertical="center"/>
    </xf>
    <xf numFmtId="165" fontId="0" fillId="9" borderId="5" xfId="0" applyNumberFormat="1" applyFill="1" applyBorder="1" applyAlignment="1">
      <alignment horizontal="center" vertical="center"/>
    </xf>
    <xf numFmtId="165" fontId="0" fillId="9" borderId="7" xfId="0" applyNumberFormat="1" applyFill="1" applyBorder="1" applyAlignment="1">
      <alignment horizontal="center" vertical="center"/>
    </xf>
    <xf numFmtId="2" fontId="0" fillId="5" borderId="1" xfId="0" applyNumberFormat="1" applyFill="1" applyBorder="1" applyAlignment="1" applyProtection="1">
      <alignment horizontal="center" vertical="center"/>
      <protection locked="0"/>
    </xf>
    <xf numFmtId="2" fontId="0" fillId="5" borderId="6" xfId="0" applyNumberFormat="1"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5"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9" borderId="58" xfId="0" applyFill="1" applyBorder="1" applyAlignment="1">
      <alignment horizontal="center" vertical="center"/>
    </xf>
    <xf numFmtId="0" fontId="0" fillId="9" borderId="20" xfId="0" applyFill="1" applyBorder="1" applyAlignment="1">
      <alignment horizontal="center" vertical="center"/>
    </xf>
    <xf numFmtId="0" fontId="0" fillId="5" borderId="58" xfId="0" applyFill="1" applyBorder="1" applyAlignment="1" applyProtection="1">
      <alignment horizontal="center"/>
      <protection locked="0"/>
    </xf>
    <xf numFmtId="1" fontId="0" fillId="5" borderId="1" xfId="0" applyNumberFormat="1" applyFill="1" applyBorder="1" applyAlignment="1" applyProtection="1">
      <alignment horizontal="center" vertical="center"/>
      <protection locked="0"/>
    </xf>
    <xf numFmtId="0" fontId="0" fillId="5" borderId="58" xfId="0" applyFill="1" applyBorder="1" applyAlignment="1" applyProtection="1">
      <alignment horizontal="center" vertical="center" wrapText="1"/>
      <protection locked="0"/>
    </xf>
    <xf numFmtId="6" fontId="0" fillId="5" borderId="59" xfId="0" applyNumberForma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protection locked="0"/>
    </xf>
    <xf numFmtId="6" fontId="39" fillId="5" borderId="7" xfId="0" applyNumberFormat="1" applyFont="1" applyFill="1" applyBorder="1" applyAlignment="1" applyProtection="1">
      <alignment horizontal="center" vertical="center" wrapText="1"/>
      <protection locked="0"/>
    </xf>
    <xf numFmtId="165" fontId="0" fillId="5" borderId="37" xfId="0" applyNumberFormat="1" applyFill="1" applyBorder="1" applyAlignment="1" applyProtection="1">
      <alignment horizontal="center" vertical="center"/>
      <protection locked="0"/>
    </xf>
    <xf numFmtId="165" fontId="17" fillId="5" borderId="108" xfId="0" applyNumberFormat="1" applyFont="1" applyFill="1" applyBorder="1" applyAlignment="1" applyProtection="1">
      <alignment horizontal="center" vertical="center"/>
      <protection locked="0"/>
    </xf>
    <xf numFmtId="0" fontId="0" fillId="9" borderId="1" xfId="0" applyFill="1" applyBorder="1" applyAlignment="1">
      <alignment horizontal="center"/>
    </xf>
    <xf numFmtId="1" fontId="0" fillId="9" borderId="5" xfId="0" applyNumberFormat="1" applyFill="1" applyBorder="1" applyAlignment="1">
      <alignment horizontal="center" vertical="center"/>
    </xf>
    <xf numFmtId="165" fontId="0" fillId="9" borderId="17" xfId="0" applyNumberFormat="1" applyFill="1" applyBorder="1" applyAlignment="1">
      <alignment horizontal="center" vertical="center"/>
    </xf>
    <xf numFmtId="165" fontId="0" fillId="9" borderId="5" xfId="1" applyNumberFormat="1" applyFont="1" applyFill="1" applyBorder="1" applyAlignment="1">
      <alignment horizontal="center" vertical="center"/>
    </xf>
    <xf numFmtId="165" fontId="0" fillId="9" borderId="7" xfId="1" applyNumberFormat="1" applyFont="1" applyFill="1" applyBorder="1" applyAlignment="1">
      <alignment horizontal="center" vertical="center"/>
    </xf>
    <xf numFmtId="2" fontId="0" fillId="0" borderId="84" xfId="0" applyNumberFormat="1" applyBorder="1" applyAlignment="1" applyProtection="1">
      <alignment horizontal="center" vertical="center"/>
      <protection locked="0"/>
    </xf>
    <xf numFmtId="2" fontId="0" fillId="0" borderId="8" xfId="0" applyNumberFormat="1" applyBorder="1" applyAlignment="1" applyProtection="1">
      <alignment horizontal="center" vertical="center"/>
      <protection locked="0"/>
    </xf>
    <xf numFmtId="2" fontId="0" fillId="0" borderId="12" xfId="0" applyNumberFormat="1" applyBorder="1" applyAlignment="1" applyProtection="1">
      <alignment horizontal="center" vertical="center"/>
      <protection locked="0"/>
    </xf>
    <xf numFmtId="2" fontId="0" fillId="0" borderId="85" xfId="0" applyNumberFormat="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0" fillId="0" borderId="10" xfId="0" applyNumberFormat="1" applyBorder="1" applyAlignment="1" applyProtection="1">
      <alignment horizontal="center" vertical="center"/>
      <protection locked="0"/>
    </xf>
    <xf numFmtId="2" fontId="0" fillId="0" borderId="44" xfId="0" applyNumberFormat="1" applyBorder="1" applyAlignment="1" applyProtection="1">
      <alignment horizontal="center" vertical="center"/>
      <protection locked="0"/>
    </xf>
    <xf numFmtId="2" fontId="0" fillId="0" borderId="13" xfId="0" applyNumberFormat="1" applyBorder="1" applyAlignment="1" applyProtection="1">
      <alignment horizontal="center" vertical="center"/>
      <protection locked="0"/>
    </xf>
    <xf numFmtId="2" fontId="0" fillId="0" borderId="14" xfId="0" applyNumberFormat="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165" fontId="17" fillId="5" borderId="37" xfId="0" applyNumberFormat="1" applyFont="1" applyFill="1" applyBorder="1" applyAlignment="1" applyProtection="1">
      <alignment horizontal="center" vertical="center"/>
      <protection locked="0"/>
    </xf>
    <xf numFmtId="0" fontId="0" fillId="0" borderId="105"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9" borderId="17" xfId="0" applyFill="1" applyBorder="1" applyAlignment="1">
      <alignment horizontal="center" vertical="center" wrapText="1"/>
    </xf>
    <xf numFmtId="0" fontId="0" fillId="9" borderId="109" xfId="0" applyFill="1" applyBorder="1" applyAlignment="1">
      <alignment horizontal="center" vertical="center"/>
    </xf>
    <xf numFmtId="0" fontId="0" fillId="9" borderId="110" xfId="0" applyFill="1" applyBorder="1" applyAlignment="1">
      <alignment horizontal="center" vertical="center"/>
    </xf>
    <xf numFmtId="165" fontId="0" fillId="9" borderId="58" xfId="0" applyNumberFormat="1" applyFill="1" applyBorder="1" applyAlignment="1">
      <alignment horizontal="center" vertical="center"/>
    </xf>
    <xf numFmtId="1" fontId="0" fillId="5" borderId="59" xfId="0" applyNumberFormat="1" applyFill="1" applyBorder="1" applyAlignment="1" applyProtection="1">
      <alignment horizontal="center" vertical="center"/>
      <protection locked="0"/>
    </xf>
    <xf numFmtId="0" fontId="21" fillId="11" borderId="57" xfId="0" applyFont="1" applyFill="1" applyBorder="1" applyAlignment="1">
      <alignment horizontal="left" vertical="center" wrapText="1"/>
    </xf>
    <xf numFmtId="0" fontId="21" fillId="11" borderId="21" xfId="0" applyFont="1" applyFill="1" applyBorder="1" applyAlignment="1">
      <alignment horizontal="left" vertical="center" wrapText="1"/>
    </xf>
    <xf numFmtId="0" fontId="21" fillId="11" borderId="26" xfId="0" applyFont="1" applyFill="1" applyBorder="1" applyAlignment="1">
      <alignment horizontal="left" vertical="center" wrapText="1"/>
    </xf>
    <xf numFmtId="165" fontId="21" fillId="9" borderId="117" xfId="5" applyNumberFormat="1" applyFont="1" applyFill="1" applyBorder="1" applyAlignment="1">
      <alignment horizontal="center" vertical="center"/>
    </xf>
    <xf numFmtId="165" fontId="21" fillId="9" borderId="118" xfId="5" applyNumberFormat="1" applyFont="1" applyFill="1" applyBorder="1" applyAlignment="1">
      <alignment horizontal="center" vertical="center"/>
    </xf>
    <xf numFmtId="0" fontId="21" fillId="11" borderId="56" xfId="0" applyFont="1" applyFill="1" applyBorder="1" applyAlignment="1">
      <alignment horizontal="left" wrapText="1"/>
    </xf>
    <xf numFmtId="165" fontId="21" fillId="9" borderId="6" xfId="0" applyNumberFormat="1" applyFont="1" applyFill="1" applyBorder="1" applyAlignment="1">
      <alignment horizontal="center" vertical="center"/>
    </xf>
    <xf numFmtId="2" fontId="17" fillId="5" borderId="12"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7" xfId="0" applyFill="1" applyBorder="1" applyAlignment="1">
      <alignment horizontal="center" vertical="center" wrapText="1"/>
    </xf>
    <xf numFmtId="165" fontId="17" fillId="9" borderId="29" xfId="0" applyNumberFormat="1" applyFont="1" applyFill="1" applyBorder="1" applyAlignment="1">
      <alignment horizontal="center" vertical="center"/>
    </xf>
    <xf numFmtId="0" fontId="17" fillId="9" borderId="16" xfId="0" applyFont="1" applyFill="1" applyBorder="1" applyAlignment="1">
      <alignment horizontal="center" vertical="center"/>
    </xf>
    <xf numFmtId="0" fontId="17" fillId="9" borderId="16" xfId="0" applyFont="1" applyFill="1" applyBorder="1" applyAlignment="1">
      <alignment vertical="center"/>
    </xf>
    <xf numFmtId="0" fontId="7" fillId="9" borderId="16" xfId="0" applyFont="1" applyFill="1" applyBorder="1" applyAlignment="1">
      <alignment horizontal="right" vertical="center"/>
    </xf>
    <xf numFmtId="0" fontId="0" fillId="9" borderId="57" xfId="0" applyFill="1" applyBorder="1"/>
    <xf numFmtId="0" fontId="0" fillId="9" borderId="59" xfId="0" applyFill="1" applyBorder="1"/>
    <xf numFmtId="0" fontId="0" fillId="9" borderId="59" xfId="0" applyFill="1" applyBorder="1" applyAlignment="1">
      <alignment horizontal="center" vertical="center" wrapText="1"/>
    </xf>
    <xf numFmtId="0" fontId="21" fillId="11" borderId="119" xfId="0" applyFont="1" applyFill="1" applyBorder="1" applyAlignment="1">
      <alignment horizontal="center" vertical="center"/>
    </xf>
    <xf numFmtId="0" fontId="21" fillId="6" borderId="107" xfId="0" applyFont="1" applyFill="1" applyBorder="1" applyAlignment="1">
      <alignment horizontal="center" vertical="center" wrapText="1"/>
    </xf>
    <xf numFmtId="0" fontId="21" fillId="11" borderId="116" xfId="0" applyFont="1" applyFill="1" applyBorder="1" applyAlignment="1">
      <alignment horizontal="center" vertical="center" wrapText="1"/>
    </xf>
    <xf numFmtId="166" fontId="21" fillId="9" borderId="36" xfId="0" applyNumberFormat="1" applyFont="1" applyFill="1" applyBorder="1" applyAlignment="1">
      <alignment horizontal="center" vertical="center"/>
    </xf>
    <xf numFmtId="0" fontId="21" fillId="11" borderId="72" xfId="0" applyFont="1" applyFill="1" applyBorder="1" applyAlignment="1">
      <alignment horizontal="center" vertical="center" wrapText="1"/>
    </xf>
    <xf numFmtId="0" fontId="21" fillId="11" borderId="120" xfId="0" applyFont="1" applyFill="1" applyBorder="1" applyAlignment="1">
      <alignment horizontal="center" vertical="center" wrapText="1"/>
    </xf>
    <xf numFmtId="166" fontId="21" fillId="9" borderId="88" xfId="0" applyNumberFormat="1" applyFont="1" applyFill="1" applyBorder="1" applyAlignment="1">
      <alignment horizontal="center" vertical="center"/>
    </xf>
    <xf numFmtId="166" fontId="21" fillId="9" borderId="108" xfId="0" applyNumberFormat="1" applyFont="1" applyFill="1" applyBorder="1" applyAlignment="1">
      <alignment horizontal="center" vertical="center"/>
    </xf>
    <xf numFmtId="166" fontId="21" fillId="9" borderId="42" xfId="0" applyNumberFormat="1" applyFont="1" applyFill="1" applyBorder="1" applyAlignment="1">
      <alignment horizontal="center" vertical="center"/>
    </xf>
    <xf numFmtId="2" fontId="21" fillId="9" borderId="38" xfId="0" applyNumberFormat="1" applyFont="1" applyFill="1" applyBorder="1" applyAlignment="1">
      <alignment horizontal="center" vertical="center"/>
    </xf>
    <xf numFmtId="2" fontId="21" fillId="9" borderId="37" xfId="0" applyNumberFormat="1" applyFont="1" applyFill="1" applyBorder="1" applyAlignment="1">
      <alignment horizontal="center" vertical="center"/>
    </xf>
    <xf numFmtId="2" fontId="21" fillId="9" borderId="36" xfId="0" applyNumberFormat="1" applyFont="1" applyFill="1" applyBorder="1" applyAlignment="1">
      <alignment horizontal="center" vertical="center"/>
    </xf>
    <xf numFmtId="0" fontId="0" fillId="9" borderId="84" xfId="0" applyFill="1" applyBorder="1" applyAlignment="1">
      <alignment horizontal="center"/>
    </xf>
    <xf numFmtId="0" fontId="0" fillId="9" borderId="8" xfId="0" applyFill="1" applyBorder="1" applyAlignment="1">
      <alignment horizontal="center"/>
    </xf>
    <xf numFmtId="0" fontId="0" fillId="9" borderId="31" xfId="0" applyFill="1" applyBorder="1" applyAlignment="1">
      <alignment horizontal="center"/>
    </xf>
    <xf numFmtId="0" fontId="0" fillId="9" borderId="85" xfId="0" applyFill="1" applyBorder="1" applyAlignment="1">
      <alignment horizontal="center"/>
    </xf>
    <xf numFmtId="0" fontId="0" fillId="9" borderId="0" xfId="0" applyFill="1" applyAlignment="1">
      <alignment horizontal="center"/>
    </xf>
    <xf numFmtId="0" fontId="0" fillId="9" borderId="29" xfId="0" applyFill="1" applyBorder="1" applyAlignment="1">
      <alignment horizontal="center"/>
    </xf>
    <xf numFmtId="0" fontId="0" fillId="9" borderId="86" xfId="0" applyFill="1" applyBorder="1" applyAlignment="1">
      <alignment horizontal="center"/>
    </xf>
    <xf numFmtId="0" fontId="0" fillId="9" borderId="9" xfId="0" applyFill="1" applyBorder="1" applyAlignment="1">
      <alignment horizontal="center"/>
    </xf>
    <xf numFmtId="0" fontId="0" fillId="9" borderId="34" xfId="0" applyFill="1" applyBorder="1" applyAlignment="1">
      <alignment horizontal="center"/>
    </xf>
    <xf numFmtId="0" fontId="0" fillId="9" borderId="0" xfId="0" quotePrefix="1" applyFill="1" applyAlignment="1">
      <alignment horizontal="left" vertical="center" wrapText="1"/>
    </xf>
    <xf numFmtId="0" fontId="0" fillId="9" borderId="0" xfId="0" applyFill="1" applyAlignment="1">
      <alignment horizontal="left" vertical="center" wrapText="1"/>
    </xf>
    <xf numFmtId="0" fontId="21" fillId="9" borderId="61" xfId="0" applyFont="1" applyFill="1" applyBorder="1" applyAlignment="1">
      <alignment horizontal="center"/>
    </xf>
    <xf numFmtId="0" fontId="21" fillId="9" borderId="62" xfId="0" applyFont="1" applyFill="1" applyBorder="1" applyAlignment="1">
      <alignment horizontal="center"/>
    </xf>
    <xf numFmtId="0" fontId="21" fillId="9" borderId="64" xfId="0" applyFont="1" applyFill="1" applyBorder="1" applyAlignment="1">
      <alignment horizontal="center"/>
    </xf>
    <xf numFmtId="0" fontId="21" fillId="9" borderId="65" xfId="0" applyFont="1" applyFill="1" applyBorder="1" applyAlignment="1">
      <alignment horizontal="center"/>
    </xf>
    <xf numFmtId="0" fontId="21" fillId="9" borderId="0" xfId="0" applyFont="1" applyFill="1" applyAlignment="1">
      <alignment horizontal="center"/>
    </xf>
    <xf numFmtId="0" fontId="21" fillId="9" borderId="66" xfId="0" applyFont="1" applyFill="1" applyBorder="1" applyAlignment="1">
      <alignment horizontal="center"/>
    </xf>
    <xf numFmtId="0" fontId="0" fillId="9" borderId="0" xfId="0" applyFill="1" applyAlignment="1">
      <alignment horizontal="center" vertical="center" wrapText="1"/>
    </xf>
    <xf numFmtId="0" fontId="0" fillId="9" borderId="69" xfId="0" applyFill="1" applyBorder="1" applyAlignment="1">
      <alignment horizontal="center" vertical="center" wrapText="1"/>
    </xf>
    <xf numFmtId="0" fontId="10" fillId="10" borderId="61" xfId="0" applyFont="1" applyFill="1" applyBorder="1" applyAlignment="1">
      <alignment horizontal="center" vertical="center"/>
    </xf>
    <xf numFmtId="0" fontId="10" fillId="10" borderId="64" xfId="0" applyFont="1" applyFill="1" applyBorder="1" applyAlignment="1">
      <alignment horizontal="center" vertical="center"/>
    </xf>
    <xf numFmtId="0" fontId="10" fillId="10" borderId="68" xfId="0" applyFont="1" applyFill="1" applyBorder="1" applyAlignment="1">
      <alignment horizontal="center" vertical="center"/>
    </xf>
    <xf numFmtId="0" fontId="10" fillId="10" borderId="71" xfId="0" applyFont="1" applyFill="1" applyBorder="1" applyAlignment="1">
      <alignment horizontal="center" vertical="center"/>
    </xf>
    <xf numFmtId="0" fontId="0" fillId="9" borderId="0" xfId="0" applyFill="1" applyAlignment="1">
      <alignment horizontal="left" vertical="top" wrapText="1"/>
    </xf>
    <xf numFmtId="0" fontId="10" fillId="9" borderId="76" xfId="0" applyFont="1" applyFill="1" applyBorder="1" applyAlignment="1">
      <alignment horizontal="center" vertical="center" textRotation="90"/>
    </xf>
    <xf numFmtId="0" fontId="10" fillId="9" borderId="82" xfId="0" applyFont="1" applyFill="1" applyBorder="1" applyAlignment="1">
      <alignment horizontal="center" vertical="center" textRotation="90"/>
    </xf>
    <xf numFmtId="0" fontId="10" fillId="9" borderId="83" xfId="0" applyFont="1" applyFill="1" applyBorder="1" applyAlignment="1">
      <alignment horizontal="center" vertical="center" textRotation="90"/>
    </xf>
    <xf numFmtId="0" fontId="21" fillId="9" borderId="2" xfId="0" applyFont="1" applyFill="1" applyBorder="1" applyAlignment="1">
      <alignment horizontal="center" vertical="center"/>
    </xf>
    <xf numFmtId="0" fontId="21" fillId="9" borderId="3" xfId="0" applyFont="1" applyFill="1" applyBorder="1" applyAlignment="1">
      <alignment horizontal="center" vertical="center"/>
    </xf>
    <xf numFmtId="0" fontId="21" fillId="9" borderId="4" xfId="0" applyFont="1" applyFill="1" applyBorder="1" applyAlignment="1">
      <alignment horizontal="center" vertical="center"/>
    </xf>
    <xf numFmtId="0" fontId="0" fillId="9" borderId="28" xfId="0" applyFill="1" applyBorder="1" applyAlignment="1">
      <alignment horizontal="center" wrapText="1"/>
    </xf>
    <xf numFmtId="0" fontId="0" fillId="9" borderId="0" xfId="0" applyFill="1" applyAlignment="1">
      <alignment horizontal="center" wrapText="1"/>
    </xf>
    <xf numFmtId="0" fontId="0" fillId="9" borderId="10" xfId="0" applyFill="1" applyBorder="1" applyAlignment="1">
      <alignment horizontal="center" wrapText="1"/>
    </xf>
    <xf numFmtId="0" fontId="10" fillId="9" borderId="28" xfId="0" applyFont="1" applyFill="1" applyBorder="1" applyAlignment="1">
      <alignment horizontal="center" wrapText="1"/>
    </xf>
    <xf numFmtId="0" fontId="10" fillId="9" borderId="0" xfId="0" applyFont="1" applyFill="1" applyAlignment="1">
      <alignment horizontal="center" wrapText="1"/>
    </xf>
    <xf numFmtId="0" fontId="10" fillId="9" borderId="10" xfId="0" applyFont="1" applyFill="1" applyBorder="1" applyAlignment="1">
      <alignment horizontal="center" wrapText="1"/>
    </xf>
    <xf numFmtId="0" fontId="0" fillId="9" borderId="0" xfId="0" applyFill="1" applyAlignment="1">
      <alignment horizontal="center" vertical="top" wrapText="1"/>
    </xf>
    <xf numFmtId="0" fontId="9" fillId="9" borderId="22" xfId="0" applyFont="1" applyFill="1" applyBorder="1" applyAlignment="1">
      <alignment horizontal="center" vertical="center" textRotation="90"/>
    </xf>
    <xf numFmtId="0" fontId="9" fillId="9" borderId="23" xfId="0" applyFont="1" applyFill="1" applyBorder="1" applyAlignment="1">
      <alignment horizontal="center" vertical="center" textRotation="90"/>
    </xf>
    <xf numFmtId="0" fontId="9" fillId="9" borderId="24" xfId="0" applyFont="1" applyFill="1" applyBorder="1" applyAlignment="1">
      <alignment horizontal="center" vertical="center" textRotation="90"/>
    </xf>
    <xf numFmtId="0" fontId="21" fillId="15" borderId="2" xfId="0"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1" fillId="15" borderId="4" xfId="0" applyFont="1" applyFill="1" applyBorder="1" applyAlignment="1">
      <alignment horizontal="center" vertical="center" wrapText="1"/>
    </xf>
    <xf numFmtId="0" fontId="10" fillId="15" borderId="25" xfId="0" applyFont="1" applyFill="1" applyBorder="1" applyAlignment="1">
      <alignment horizontal="center" vertical="center"/>
    </xf>
    <xf numFmtId="0" fontId="10" fillId="15" borderId="13" xfId="0" applyFont="1" applyFill="1" applyBorder="1" applyAlignment="1">
      <alignment horizontal="center" vertical="center"/>
    </xf>
    <xf numFmtId="0" fontId="0" fillId="9" borderId="37" xfId="0" applyFill="1" applyBorder="1" applyAlignment="1">
      <alignment horizontal="left" vertical="center" wrapText="1"/>
    </xf>
    <xf numFmtId="0" fontId="0" fillId="9" borderId="38" xfId="0" applyFill="1" applyBorder="1" applyAlignment="1">
      <alignment horizontal="left" vertical="center" wrapText="1"/>
    </xf>
    <xf numFmtId="0" fontId="24" fillId="8" borderId="0" xfId="0" applyFont="1" applyFill="1" applyAlignment="1">
      <alignment horizontal="right" vertical="center" wrapText="1"/>
    </xf>
    <xf numFmtId="0" fontId="0" fillId="9" borderId="9" xfId="0" applyFill="1" applyBorder="1" applyAlignment="1">
      <alignment horizontal="left" vertical="center" wrapText="1"/>
    </xf>
    <xf numFmtId="0" fontId="0" fillId="9" borderId="11" xfId="0" applyFill="1" applyBorder="1" applyAlignment="1">
      <alignment horizontal="left"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9"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0" xfId="0" applyFont="1" applyFill="1" applyAlignment="1">
      <alignment horizontal="center" vertical="center" wrapText="1"/>
    </xf>
    <xf numFmtId="0" fontId="6" fillId="9" borderId="29"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19" fillId="13" borderId="51" xfId="0" applyFont="1" applyFill="1" applyBorder="1" applyAlignment="1">
      <alignment horizontal="center" vertical="center"/>
    </xf>
    <xf numFmtId="0" fontId="19" fillId="13" borderId="54" xfId="0" applyFont="1" applyFill="1" applyBorder="1" applyAlignment="1">
      <alignment horizontal="center" vertical="center"/>
    </xf>
    <xf numFmtId="0" fontId="19" fillId="13" borderId="53" xfId="0" applyFont="1" applyFill="1" applyBorder="1" applyAlignment="1">
      <alignment horizontal="center" vertical="center"/>
    </xf>
    <xf numFmtId="0" fontId="19" fillId="8" borderId="0" xfId="0" applyFont="1" applyFill="1" applyAlignment="1">
      <alignment horizontal="center" vertical="center" wrapText="1"/>
    </xf>
    <xf numFmtId="0" fontId="0" fillId="9" borderId="13" xfId="0" applyFill="1" applyBorder="1" applyAlignment="1">
      <alignment horizontal="left" vertical="center" wrapText="1"/>
    </xf>
    <xf numFmtId="0" fontId="0" fillId="9" borderId="14" xfId="0" applyFill="1" applyBorder="1" applyAlignment="1">
      <alignment horizontal="left" vertical="center" wrapText="1"/>
    </xf>
    <xf numFmtId="0" fontId="0" fillId="9" borderId="8" xfId="0" applyFill="1" applyBorder="1" applyAlignment="1">
      <alignment horizontal="left" vertical="center" wrapText="1"/>
    </xf>
    <xf numFmtId="0" fontId="27" fillId="8" borderId="0" xfId="0" applyFont="1" applyFill="1" applyAlignment="1">
      <alignment horizontal="center" vertical="center"/>
    </xf>
    <xf numFmtId="0" fontId="6" fillId="8" borderId="0" xfId="0" applyFont="1" applyFill="1" applyAlignment="1">
      <alignment horizontal="center" vertical="center" wrapText="1"/>
    </xf>
    <xf numFmtId="0" fontId="6" fillId="8" borderId="0" xfId="0" applyFont="1" applyFill="1" applyAlignment="1">
      <alignment horizontal="center" vertical="center"/>
    </xf>
    <xf numFmtId="0" fontId="0" fillId="8" borderId="0" xfId="0" applyFill="1" applyAlignment="1">
      <alignment horizontal="left" vertical="center"/>
    </xf>
    <xf numFmtId="0" fontId="0" fillId="9" borderId="37" xfId="0" applyFill="1" applyBorder="1" applyAlignment="1">
      <alignment horizontal="left"/>
    </xf>
    <xf numFmtId="0" fontId="0" fillId="9" borderId="38" xfId="0" applyFill="1" applyBorder="1" applyAlignment="1">
      <alignment horizontal="left"/>
    </xf>
    <xf numFmtId="0" fontId="0" fillId="9" borderId="9" xfId="0" applyFill="1" applyBorder="1" applyAlignment="1">
      <alignment horizontal="left" vertical="center"/>
    </xf>
    <xf numFmtId="0" fontId="0" fillId="9" borderId="11" xfId="0" applyFill="1" applyBorder="1" applyAlignment="1">
      <alignment horizontal="left" vertical="center"/>
    </xf>
    <xf numFmtId="0" fontId="0" fillId="9" borderId="37" xfId="0" applyFill="1" applyBorder="1" applyAlignment="1">
      <alignment horizontal="left" vertical="center"/>
    </xf>
    <xf numFmtId="0" fontId="0" fillId="9" borderId="38" xfId="0" applyFill="1" applyBorder="1" applyAlignment="1">
      <alignment horizontal="left" vertical="center"/>
    </xf>
    <xf numFmtId="0" fontId="0" fillId="9" borderId="0" xfId="0" applyFill="1" applyAlignment="1">
      <alignment horizontal="left" vertical="center"/>
    </xf>
    <xf numFmtId="0" fontId="10" fillId="8" borderId="0" xfId="0" applyFont="1" applyFill="1" applyAlignment="1">
      <alignment horizontal="center" vertical="center"/>
    </xf>
    <xf numFmtId="0" fontId="0" fillId="0" borderId="43" xfId="0" applyBorder="1" applyAlignment="1">
      <alignment horizontal="left" vertical="center" wrapText="1"/>
    </xf>
    <xf numFmtId="0" fontId="0" fillId="0" borderId="8" xfId="0" applyBorder="1" applyAlignment="1">
      <alignment horizontal="left" vertical="center" wrapText="1"/>
    </xf>
    <xf numFmtId="0" fontId="0" fillId="0" borderId="3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horizontal="left" vertical="center" wrapText="1"/>
    </xf>
    <xf numFmtId="0" fontId="0" fillId="0" borderId="89" xfId="0" applyBorder="1" applyAlignment="1">
      <alignment horizontal="left" vertical="center" wrapText="1"/>
    </xf>
    <xf numFmtId="0" fontId="0" fillId="0" borderId="37" xfId="0" applyBorder="1" applyAlignment="1">
      <alignment horizontal="left" vertical="center" wrapText="1"/>
    </xf>
    <xf numFmtId="0" fontId="0" fillId="0" borderId="41"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10" fillId="15" borderId="28" xfId="0" applyFont="1" applyFill="1" applyBorder="1" applyAlignment="1">
      <alignment horizontal="center" vertical="center" wrapText="1"/>
    </xf>
    <xf numFmtId="0" fontId="10" fillId="15" borderId="0" xfId="0" applyFont="1" applyFill="1" applyAlignment="1">
      <alignment horizontal="center" vertical="center" wrapText="1"/>
    </xf>
    <xf numFmtId="0" fontId="21" fillId="15" borderId="28" xfId="0" applyFont="1" applyFill="1" applyBorder="1" applyAlignment="1">
      <alignment horizontal="center" vertical="center" wrapText="1"/>
    </xf>
    <xf numFmtId="0" fontId="21" fillId="15" borderId="0" xfId="0" applyFont="1" applyFill="1" applyAlignment="1">
      <alignment horizontal="center" vertical="center" wrapText="1"/>
    </xf>
    <xf numFmtId="0" fontId="21" fillId="15" borderId="10" xfId="0" applyFont="1" applyFill="1" applyBorder="1" applyAlignment="1">
      <alignment horizontal="center" vertical="center" wrapText="1"/>
    </xf>
    <xf numFmtId="0" fontId="3" fillId="9" borderId="32" xfId="0" applyFont="1" applyFill="1" applyBorder="1" applyAlignment="1">
      <alignment horizontal="left" vertical="center"/>
    </xf>
    <xf numFmtId="0" fontId="3" fillId="9" borderId="9" xfId="0" applyFont="1" applyFill="1" applyBorder="1" applyAlignment="1">
      <alignment horizontal="left" vertical="center"/>
    </xf>
    <xf numFmtId="0" fontId="3" fillId="9" borderId="11" xfId="0" applyFont="1" applyFill="1" applyBorder="1" applyAlignment="1">
      <alignment horizontal="left" vertical="center"/>
    </xf>
    <xf numFmtId="0" fontId="0" fillId="9" borderId="9" xfId="0" applyFill="1" applyBorder="1" applyAlignment="1">
      <alignment horizontal="left"/>
    </xf>
    <xf numFmtId="0" fontId="0" fillId="9" borderId="11" xfId="0" applyFill="1" applyBorder="1" applyAlignment="1">
      <alignment horizontal="left"/>
    </xf>
    <xf numFmtId="0" fontId="21" fillId="11" borderId="56" xfId="0" applyFont="1" applyFill="1" applyBorder="1" applyAlignment="1">
      <alignment horizontal="left" vertical="center" wrapText="1"/>
    </xf>
    <xf numFmtId="0" fontId="21" fillId="11" borderId="6" xfId="0" applyFont="1" applyFill="1" applyBorder="1" applyAlignment="1">
      <alignment horizontal="left" vertical="center" wrapText="1"/>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9" xfId="0" applyFont="1" applyFill="1" applyBorder="1" applyAlignment="1">
      <alignment horizontal="center" vertical="center"/>
    </xf>
    <xf numFmtId="0" fontId="6" fillId="9" borderId="28" xfId="0" applyFont="1" applyFill="1" applyBorder="1" applyAlignment="1">
      <alignment horizontal="center" vertical="center"/>
    </xf>
    <xf numFmtId="0" fontId="6" fillId="9" borderId="0" xfId="0" applyFont="1" applyFill="1" applyAlignment="1">
      <alignment horizontal="center" vertical="center"/>
    </xf>
    <xf numFmtId="0" fontId="6" fillId="9" borderId="29"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50" xfId="0" applyFont="1" applyFill="1" applyBorder="1" applyAlignment="1">
      <alignment horizontal="center" vertical="center"/>
    </xf>
    <xf numFmtId="0" fontId="21" fillId="10" borderId="2" xfId="0" applyFont="1" applyFill="1" applyBorder="1" applyAlignment="1">
      <alignment horizontal="center" vertical="center"/>
    </xf>
    <xf numFmtId="0" fontId="21" fillId="10" borderId="3" xfId="0" applyFont="1" applyFill="1" applyBorder="1" applyAlignment="1">
      <alignment horizontal="center" vertical="center"/>
    </xf>
    <xf numFmtId="0" fontId="21" fillId="10" borderId="4" xfId="0" applyFont="1" applyFill="1" applyBorder="1" applyAlignment="1">
      <alignment horizontal="center" vertical="center"/>
    </xf>
    <xf numFmtId="0" fontId="21" fillId="10" borderId="25" xfId="0" applyFont="1" applyFill="1" applyBorder="1" applyAlignment="1">
      <alignment horizontal="center" vertical="center"/>
    </xf>
    <xf numFmtId="0" fontId="21" fillId="10" borderId="13" xfId="0" applyFont="1" applyFill="1" applyBorder="1" applyAlignment="1">
      <alignment horizontal="center" vertical="center"/>
    </xf>
    <xf numFmtId="0" fontId="21" fillId="10" borderId="14" xfId="0" applyFont="1" applyFill="1" applyBorder="1" applyAlignment="1">
      <alignment horizontal="center" vertical="center"/>
    </xf>
    <xf numFmtId="0" fontId="21" fillId="11" borderId="19"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87" xfId="0" applyFont="1" applyFill="1" applyBorder="1" applyAlignment="1">
      <alignment horizontal="left" vertical="center" wrapText="1"/>
    </xf>
    <xf numFmtId="0" fontId="21" fillId="11" borderId="1" xfId="0" applyFont="1" applyFill="1" applyBorder="1" applyAlignment="1">
      <alignment horizontal="left" vertical="center" wrapText="1"/>
    </xf>
    <xf numFmtId="0" fontId="21" fillId="11" borderId="87" xfId="0" applyFont="1" applyFill="1" applyBorder="1" applyAlignment="1">
      <alignment horizontal="left" vertical="center"/>
    </xf>
    <xf numFmtId="0" fontId="21" fillId="11" borderId="1" xfId="0" applyFont="1" applyFill="1" applyBorder="1" applyAlignment="1">
      <alignment horizontal="left" vertical="center"/>
    </xf>
    <xf numFmtId="0" fontId="21" fillId="8" borderId="0" xfId="0" applyFont="1" applyFill="1" applyAlignment="1">
      <alignment horizontal="center" vertical="center"/>
    </xf>
    <xf numFmtId="0" fontId="21" fillId="8" borderId="0" xfId="0" applyFont="1" applyFill="1" applyAlignment="1">
      <alignment horizontal="center" vertical="center" wrapText="1"/>
    </xf>
    <xf numFmtId="0" fontId="0" fillId="9" borderId="25" xfId="0" applyFill="1" applyBorder="1" applyAlignment="1">
      <alignment horizontal="center" vertical="top" wrapText="1"/>
    </xf>
    <xf numFmtId="0" fontId="0" fillId="9" borderId="13" xfId="0" applyFill="1" applyBorder="1" applyAlignment="1">
      <alignment horizontal="center" vertical="top" wrapText="1"/>
    </xf>
    <xf numFmtId="0" fontId="0" fillId="9" borderId="14" xfId="0" applyFill="1" applyBorder="1" applyAlignment="1">
      <alignment horizontal="center" vertical="top" wrapText="1"/>
    </xf>
    <xf numFmtId="0" fontId="21" fillId="15" borderId="2" xfId="0" applyFont="1" applyFill="1" applyBorder="1" applyAlignment="1">
      <alignment horizontal="center"/>
    </xf>
    <xf numFmtId="0" fontId="21" fillId="15" borderId="4" xfId="0" applyFont="1" applyFill="1" applyBorder="1" applyAlignment="1">
      <alignment horizontal="center"/>
    </xf>
    <xf numFmtId="0" fontId="0" fillId="9" borderId="56" xfId="0" applyFill="1" applyBorder="1" applyAlignment="1">
      <alignment horizontal="left" vertical="center"/>
    </xf>
    <xf numFmtId="0" fontId="0" fillId="9" borderId="6" xfId="0" applyFill="1" applyBorder="1" applyAlignment="1">
      <alignment horizontal="left" vertical="center"/>
    </xf>
    <xf numFmtId="0" fontId="21"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1" borderId="32"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12" borderId="47"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6" fillId="12" borderId="27" xfId="0" applyFont="1" applyFill="1" applyBorder="1" applyAlignment="1">
      <alignment horizontal="center" vertical="center" wrapText="1"/>
    </xf>
    <xf numFmtId="0" fontId="19" fillId="13" borderId="39" xfId="0" applyFont="1" applyFill="1" applyBorder="1" applyAlignment="1">
      <alignment horizontal="center"/>
    </xf>
    <xf numFmtId="0" fontId="19" fillId="13" borderId="33" xfId="0" applyFont="1" applyFill="1" applyBorder="1" applyAlignment="1">
      <alignment horizontal="center"/>
    </xf>
    <xf numFmtId="0" fontId="19" fillId="13" borderId="30" xfId="0" applyFont="1" applyFill="1" applyBorder="1" applyAlignment="1">
      <alignment horizontal="center"/>
    </xf>
    <xf numFmtId="0" fontId="19" fillId="13" borderId="2" xfId="0" applyFont="1" applyFill="1" applyBorder="1" applyAlignment="1">
      <alignment horizontal="center"/>
    </xf>
    <xf numFmtId="0" fontId="19" fillId="13" borderId="3" xfId="0" applyFont="1" applyFill="1" applyBorder="1" applyAlignment="1">
      <alignment horizontal="center"/>
    </xf>
    <xf numFmtId="0" fontId="19" fillId="13" borderId="4" xfId="0" applyFont="1" applyFill="1" applyBorder="1" applyAlignment="1">
      <alignment horizontal="center"/>
    </xf>
    <xf numFmtId="0" fontId="6" fillId="9" borderId="47" xfId="0" applyFont="1" applyFill="1" applyBorder="1" applyAlignment="1">
      <alignment horizontal="center" vertical="center" wrapText="1"/>
    </xf>
    <xf numFmtId="165" fontId="7" fillId="8" borderId="0" xfId="0" applyNumberFormat="1" applyFont="1" applyFill="1" applyAlignment="1">
      <alignment horizontal="center"/>
    </xf>
    <xf numFmtId="0" fontId="10" fillId="8" borderId="0" xfId="0" applyFont="1" applyFill="1" applyAlignment="1">
      <alignment horizontal="center"/>
    </xf>
    <xf numFmtId="0" fontId="6" fillId="8" borderId="0" xfId="0" applyFont="1" applyFill="1" applyAlignment="1">
      <alignment horizontal="center"/>
    </xf>
    <xf numFmtId="0" fontId="0" fillId="9" borderId="8" xfId="0" applyFill="1" applyBorder="1" applyAlignment="1">
      <alignment horizontal="center" wrapText="1"/>
    </xf>
    <xf numFmtId="0" fontId="0" fillId="9" borderId="31" xfId="0" applyFill="1" applyBorder="1" applyAlignment="1">
      <alignment horizontal="center" wrapText="1"/>
    </xf>
    <xf numFmtId="0" fontId="0" fillId="9" borderId="29" xfId="0" applyFill="1" applyBorder="1" applyAlignment="1">
      <alignment horizontal="center" wrapText="1"/>
    </xf>
    <xf numFmtId="0" fontId="0" fillId="9" borderId="9" xfId="0" applyFill="1" applyBorder="1" applyAlignment="1">
      <alignment horizontal="center" wrapText="1"/>
    </xf>
    <xf numFmtId="0" fontId="0" fillId="9" borderId="34" xfId="0" applyFill="1" applyBorder="1" applyAlignment="1">
      <alignment horizontal="center" wrapText="1"/>
    </xf>
    <xf numFmtId="0" fontId="21" fillId="15" borderId="3" xfId="0" applyFont="1" applyFill="1" applyBorder="1" applyAlignment="1">
      <alignment horizontal="center"/>
    </xf>
    <xf numFmtId="0" fontId="10" fillId="15" borderId="14" xfId="0" applyFont="1" applyFill="1" applyBorder="1" applyAlignment="1">
      <alignment horizontal="center" vertical="center"/>
    </xf>
    <xf numFmtId="0" fontId="21" fillId="15" borderId="2" xfId="0" applyFont="1" applyFill="1" applyBorder="1" applyAlignment="1">
      <alignment horizontal="center" vertical="center"/>
    </xf>
    <xf numFmtId="0" fontId="21" fillId="15" borderId="3" xfId="0" applyFont="1" applyFill="1" applyBorder="1" applyAlignment="1">
      <alignment horizontal="center" vertical="center"/>
    </xf>
    <xf numFmtId="0" fontId="21" fillId="15" borderId="4" xfId="0" applyFont="1" applyFill="1" applyBorder="1" applyAlignment="1">
      <alignment horizontal="center" vertical="center"/>
    </xf>
    <xf numFmtId="0" fontId="0" fillId="0" borderId="111"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6" xfId="0" applyBorder="1" applyAlignment="1" applyProtection="1">
      <alignment horizontal="left"/>
      <protection locked="0"/>
    </xf>
    <xf numFmtId="0" fontId="0" fillId="0" borderId="7" xfId="0" applyBorder="1" applyAlignment="1" applyProtection="1">
      <alignment horizontal="left"/>
      <protection locked="0"/>
    </xf>
    <xf numFmtId="0" fontId="0" fillId="0" borderId="106"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46" xfId="0" applyBorder="1" applyAlignment="1">
      <alignment horizontal="center" vertical="center" wrapText="1"/>
    </xf>
    <xf numFmtId="0" fontId="0" fillId="0" borderId="18" xfId="0" applyBorder="1" applyAlignment="1">
      <alignment horizontal="center" vertical="center" wrapText="1"/>
    </xf>
    <xf numFmtId="0" fontId="0" fillId="0" borderId="110" xfId="0" applyBorder="1" applyAlignment="1">
      <alignment horizontal="center" vertical="center" wrapText="1"/>
    </xf>
    <xf numFmtId="0" fontId="10" fillId="15" borderId="13" xfId="0" applyFont="1" applyFill="1" applyBorder="1" applyAlignment="1">
      <alignment horizontal="center"/>
    </xf>
    <xf numFmtId="0" fontId="10" fillId="15" borderId="14" xfId="0" applyFont="1" applyFill="1" applyBorder="1" applyAlignment="1">
      <alignment horizontal="center"/>
    </xf>
    <xf numFmtId="0" fontId="0" fillId="0" borderId="111" xfId="0" applyBorder="1" applyAlignment="1" applyProtection="1">
      <alignment horizontal="center"/>
      <protection locked="0"/>
    </xf>
    <xf numFmtId="0" fontId="0" fillId="0" borderId="38" xfId="0" applyBorder="1" applyAlignment="1" applyProtection="1">
      <alignment horizontal="center"/>
      <protection locked="0"/>
    </xf>
    <xf numFmtId="0" fontId="0" fillId="9" borderId="31" xfId="0" applyFill="1" applyBorder="1" applyAlignment="1">
      <alignment horizontal="center" vertical="center" wrapText="1"/>
    </xf>
    <xf numFmtId="0" fontId="0" fillId="9" borderId="29"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8" xfId="0" applyFill="1" applyBorder="1" applyAlignment="1">
      <alignment horizontal="center" vertical="center" wrapText="1"/>
    </xf>
    <xf numFmtId="0" fontId="0" fillId="9" borderId="9" xfId="0" applyFill="1" applyBorder="1" applyAlignment="1">
      <alignment horizontal="center" vertical="center" wrapText="1"/>
    </xf>
    <xf numFmtId="0" fontId="7" fillId="11" borderId="13" xfId="0" applyFont="1" applyFill="1" applyBorder="1" applyAlignment="1">
      <alignment horizontal="right" vertical="center"/>
    </xf>
    <xf numFmtId="0" fontId="6" fillId="0" borderId="89" xfId="0" applyFont="1" applyBorder="1" applyAlignment="1">
      <alignment horizontal="left" vertical="center"/>
    </xf>
    <xf numFmtId="0" fontId="6" fillId="0" borderId="41"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30" fillId="13" borderId="39" xfId="0" applyFont="1" applyFill="1" applyBorder="1" applyAlignment="1">
      <alignment horizontal="center"/>
    </xf>
    <xf numFmtId="0" fontId="30" fillId="13" borderId="33" xfId="0" applyFont="1" applyFill="1" applyBorder="1" applyAlignment="1">
      <alignment horizontal="center"/>
    </xf>
    <xf numFmtId="0" fontId="30" fillId="13" borderId="30" xfId="0" applyFont="1" applyFill="1" applyBorder="1" applyAlignment="1">
      <alignment horizontal="center"/>
    </xf>
    <xf numFmtId="0" fontId="21" fillId="11" borderId="87"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21" fillId="11" borderId="57" xfId="0" applyFont="1" applyFill="1" applyBorder="1" applyAlignment="1">
      <alignment horizontal="center" vertical="center"/>
    </xf>
    <xf numFmtId="0" fontId="21" fillId="11" borderId="58" xfId="0" applyFont="1" applyFill="1" applyBorder="1" applyAlignment="1">
      <alignment horizontal="center" vertical="center"/>
    </xf>
    <xf numFmtId="0" fontId="6" fillId="9" borderId="39" xfId="0" applyFont="1" applyFill="1" applyBorder="1" applyAlignment="1">
      <alignment horizontal="left" vertical="center"/>
    </xf>
    <xf numFmtId="0" fontId="6" fillId="9" borderId="105" xfId="0" applyFont="1" applyFill="1" applyBorder="1" applyAlignment="1">
      <alignment horizontal="left" vertical="center"/>
    </xf>
    <xf numFmtId="0" fontId="10" fillId="15" borderId="39" xfId="0" applyFont="1" applyFill="1" applyBorder="1" applyAlignment="1">
      <alignment horizontal="center"/>
    </xf>
    <xf numFmtId="0" fontId="10" fillId="15" borderId="33" xfId="0" applyFont="1" applyFill="1" applyBorder="1" applyAlignment="1">
      <alignment horizontal="center"/>
    </xf>
    <xf numFmtId="0" fontId="10" fillId="15" borderId="30" xfId="0" applyFont="1" applyFill="1" applyBorder="1" applyAlignment="1">
      <alignment horizontal="center"/>
    </xf>
    <xf numFmtId="0" fontId="6" fillId="0" borderId="90" xfId="0" applyFont="1" applyBorder="1" applyAlignment="1">
      <alignment horizontal="left" vertical="center"/>
    </xf>
    <xf numFmtId="0" fontId="6" fillId="0" borderId="40" xfId="0" applyFont="1" applyBorder="1" applyAlignment="1">
      <alignment horizontal="left" vertical="center"/>
    </xf>
    <xf numFmtId="0" fontId="0" fillId="9" borderId="84" xfId="0" applyFill="1" applyBorder="1" applyAlignment="1">
      <alignment horizontal="center" vertical="top" wrapText="1"/>
    </xf>
    <xf numFmtId="0" fontId="0" fillId="9" borderId="8" xfId="0" applyFill="1" applyBorder="1" applyAlignment="1">
      <alignment horizontal="center" vertical="top" wrapText="1"/>
    </xf>
    <xf numFmtId="0" fontId="0" fillId="9" borderId="31" xfId="0" applyFill="1" applyBorder="1" applyAlignment="1">
      <alignment horizontal="center" vertical="top" wrapText="1"/>
    </xf>
    <xf numFmtId="0" fontId="0" fillId="9" borderId="85" xfId="0" applyFill="1" applyBorder="1" applyAlignment="1">
      <alignment horizontal="center" vertical="top" wrapText="1"/>
    </xf>
    <xf numFmtId="0" fontId="0" fillId="9" borderId="29" xfId="0" applyFill="1" applyBorder="1" applyAlignment="1">
      <alignment horizontal="center" vertical="top" wrapText="1"/>
    </xf>
    <xf numFmtId="0" fontId="0" fillId="9" borderId="86" xfId="0" applyFill="1" applyBorder="1" applyAlignment="1">
      <alignment horizontal="center" vertical="top" wrapText="1"/>
    </xf>
    <xf numFmtId="0" fontId="0" fillId="9" borderId="9" xfId="0" applyFill="1" applyBorder="1" applyAlignment="1">
      <alignment horizontal="center" vertical="top" wrapText="1"/>
    </xf>
    <xf numFmtId="0" fontId="0" fillId="9" borderId="34" xfId="0" applyFill="1" applyBorder="1" applyAlignment="1">
      <alignment horizontal="center" vertical="top" wrapText="1"/>
    </xf>
    <xf numFmtId="0" fontId="21" fillId="10" borderId="25" xfId="0" applyFont="1" applyFill="1" applyBorder="1" applyAlignment="1">
      <alignment horizontal="center"/>
    </xf>
    <xf numFmtId="0" fontId="21" fillId="10" borderId="13" xfId="0" applyFont="1" applyFill="1" applyBorder="1" applyAlignment="1">
      <alignment horizontal="center"/>
    </xf>
    <xf numFmtId="0" fontId="21" fillId="10" borderId="14" xfId="0" applyFont="1" applyFill="1" applyBorder="1" applyAlignment="1">
      <alignment horizontal="center"/>
    </xf>
    <xf numFmtId="0" fontId="21" fillId="11" borderId="56" xfId="0" applyFont="1" applyFill="1" applyBorder="1" applyAlignment="1">
      <alignment horizontal="center" vertical="center"/>
    </xf>
    <xf numFmtId="0" fontId="21" fillId="11" borderId="6" xfId="0" applyFont="1" applyFill="1" applyBorder="1" applyAlignment="1">
      <alignment horizontal="center" vertical="center"/>
    </xf>
    <xf numFmtId="0" fontId="21" fillId="11" borderId="90" xfId="0" applyFont="1" applyFill="1" applyBorder="1" applyAlignment="1">
      <alignment horizontal="left" vertical="center" wrapText="1"/>
    </xf>
    <xf numFmtId="0" fontId="21" fillId="11" borderId="40" xfId="0" applyFont="1" applyFill="1" applyBorder="1" applyAlignment="1">
      <alignment horizontal="left" vertical="center" wrapText="1"/>
    </xf>
    <xf numFmtId="0" fontId="21" fillId="11" borderId="89" xfId="0" applyFont="1" applyFill="1" applyBorder="1" applyAlignment="1">
      <alignment horizontal="left" vertical="center"/>
    </xf>
    <xf numFmtId="0" fontId="21" fillId="11" borderId="41" xfId="0" applyFont="1" applyFill="1" applyBorder="1" applyAlignment="1">
      <alignment horizontal="left" vertical="center"/>
    </xf>
    <xf numFmtId="0" fontId="21" fillId="11" borderId="89" xfId="0" applyFont="1" applyFill="1" applyBorder="1" applyAlignment="1">
      <alignment horizontal="left" vertical="center" wrapText="1"/>
    </xf>
    <xf numFmtId="0" fontId="21" fillId="11" borderId="41" xfId="0" applyFont="1" applyFill="1" applyBorder="1" applyAlignment="1">
      <alignment horizontal="left" vertical="center" wrapText="1"/>
    </xf>
    <xf numFmtId="0" fontId="21" fillId="11" borderId="39" xfId="0" applyFont="1" applyFill="1" applyBorder="1" applyAlignment="1">
      <alignment horizontal="center" vertical="center"/>
    </xf>
    <xf numFmtId="0" fontId="21" fillId="11" borderId="105" xfId="0" applyFont="1" applyFill="1" applyBorder="1" applyAlignment="1">
      <alignment horizontal="center" vertic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38" xfId="0" applyBorder="1" applyAlignment="1">
      <alignment horizontal="left" vertical="center" wrapText="1"/>
    </xf>
    <xf numFmtId="0" fontId="21" fillId="10" borderId="32" xfId="0" applyFont="1" applyFill="1" applyBorder="1" applyAlignment="1">
      <alignment horizontal="center" vertical="center"/>
    </xf>
    <xf numFmtId="0" fontId="21" fillId="10" borderId="9" xfId="0" applyFont="1" applyFill="1" applyBorder="1" applyAlignment="1">
      <alignment horizontal="center" vertical="center"/>
    </xf>
    <xf numFmtId="0" fontId="21" fillId="10" borderId="11" xfId="0" applyFont="1" applyFill="1" applyBorder="1" applyAlignment="1">
      <alignment horizontal="center" vertical="center"/>
    </xf>
    <xf numFmtId="0" fontId="21" fillId="11" borderId="87" xfId="0" applyFont="1" applyFill="1" applyBorder="1" applyAlignment="1">
      <alignment horizontal="center" vertical="center"/>
    </xf>
    <xf numFmtId="0" fontId="21" fillId="11" borderId="1" xfId="0" applyFont="1" applyFill="1" applyBorder="1" applyAlignment="1">
      <alignment horizontal="center" vertical="center"/>
    </xf>
    <xf numFmtId="0" fontId="0" fillId="0" borderId="37" xfId="0" applyBorder="1" applyAlignment="1">
      <alignment horizontal="left"/>
    </xf>
    <xf numFmtId="0" fontId="0" fillId="0" borderId="38" xfId="0" applyBorder="1" applyAlignment="1">
      <alignment horizontal="left"/>
    </xf>
    <xf numFmtId="0" fontId="6" fillId="0" borderId="87" xfId="0" applyFont="1" applyBorder="1" applyAlignment="1">
      <alignment horizontal="left" vertical="center" wrapText="1"/>
    </xf>
    <xf numFmtId="0" fontId="6" fillId="0" borderId="1" xfId="0" applyFont="1" applyBorder="1" applyAlignment="1">
      <alignment horizontal="left" vertical="center" wrapText="1"/>
    </xf>
    <xf numFmtId="0" fontId="6" fillId="0" borderId="56" xfId="0" applyFont="1" applyBorder="1" applyAlignment="1">
      <alignment horizontal="left" vertical="center" wrapText="1"/>
    </xf>
    <xf numFmtId="0" fontId="6" fillId="0" borderId="6"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2" fillId="0" borderId="39" xfId="0" applyFont="1" applyBorder="1" applyAlignment="1">
      <alignment horizontal="left" vertical="center"/>
    </xf>
    <xf numFmtId="0" fontId="2" fillId="0" borderId="33" xfId="0" applyFont="1" applyBorder="1" applyAlignment="1">
      <alignment horizontal="left" vertical="center"/>
    </xf>
    <xf numFmtId="0" fontId="2" fillId="0" borderId="30" xfId="0" applyFont="1" applyBorder="1" applyAlignment="1">
      <alignment horizontal="left" vertical="center"/>
    </xf>
    <xf numFmtId="0" fontId="0" fillId="0" borderId="108" xfId="0" applyBorder="1" applyAlignment="1">
      <alignment horizontal="left" vertical="center" wrapText="1"/>
    </xf>
    <xf numFmtId="0" fontId="0" fillId="0" borderId="88" xfId="0" applyBorder="1" applyAlignment="1">
      <alignment horizontal="left" vertical="center" wrapText="1"/>
    </xf>
    <xf numFmtId="0" fontId="7" fillId="11" borderId="13" xfId="0" applyFont="1" applyFill="1" applyBorder="1" applyAlignment="1">
      <alignment horizontal="right"/>
    </xf>
    <xf numFmtId="0" fontId="6" fillId="9" borderId="61" xfId="0" applyFont="1" applyFill="1" applyBorder="1" applyAlignment="1">
      <alignment horizontal="center" vertical="center" wrapText="1"/>
    </xf>
    <xf numFmtId="0" fontId="6" fillId="9" borderId="62" xfId="0" applyFont="1" applyFill="1" applyBorder="1" applyAlignment="1">
      <alignment horizontal="center" vertical="center" wrapText="1"/>
    </xf>
    <xf numFmtId="0" fontId="6" fillId="9" borderId="63" xfId="0" applyFont="1" applyFill="1" applyBorder="1" applyAlignment="1">
      <alignment horizontal="center" vertical="center" wrapText="1"/>
    </xf>
    <xf numFmtId="0" fontId="6" fillId="9" borderId="65"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69" xfId="0" applyFont="1" applyFill="1" applyBorder="1" applyAlignment="1">
      <alignment horizontal="center" vertical="center" wrapText="1"/>
    </xf>
    <xf numFmtId="0" fontId="6" fillId="9" borderId="70" xfId="0" applyFont="1" applyFill="1" applyBorder="1" applyAlignment="1">
      <alignment horizontal="center" vertical="center" wrapText="1"/>
    </xf>
    <xf numFmtId="0" fontId="7" fillId="8" borderId="0" xfId="0" applyFont="1" applyFill="1" applyAlignment="1">
      <alignment horizontal="right"/>
    </xf>
    <xf numFmtId="0" fontId="7" fillId="8" borderId="0" xfId="0" applyFont="1" applyFill="1" applyAlignment="1">
      <alignment horizontal="right" vertical="center"/>
    </xf>
    <xf numFmtId="0" fontId="19" fillId="8" borderId="0" xfId="0" applyFont="1" applyFill="1" applyAlignment="1">
      <alignment horizontal="center" vertical="center"/>
    </xf>
    <xf numFmtId="0" fontId="10" fillId="15" borderId="28" xfId="0" applyFont="1" applyFill="1" applyBorder="1" applyAlignment="1">
      <alignment horizontal="center" vertical="center"/>
    </xf>
    <xf numFmtId="0" fontId="10" fillId="15" borderId="0" xfId="0" applyFont="1" applyFill="1" applyAlignment="1">
      <alignment horizontal="center" vertical="center"/>
    </xf>
    <xf numFmtId="0" fontId="0" fillId="9" borderId="28"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6" fillId="9" borderId="57" xfId="0" applyFont="1" applyFill="1" applyBorder="1" applyAlignment="1">
      <alignment horizontal="left"/>
    </xf>
    <xf numFmtId="0" fontId="6" fillId="9" borderId="58" xfId="0" applyFont="1" applyFill="1" applyBorder="1" applyAlignment="1">
      <alignment horizontal="left"/>
    </xf>
    <xf numFmtId="0" fontId="0" fillId="0" borderId="17" xfId="0" applyBorder="1" applyAlignment="1">
      <alignment horizontal="left" vertical="center" wrapText="1"/>
    </xf>
    <xf numFmtId="0" fontId="0" fillId="0" borderId="35"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1" fillId="8" borderId="0" xfId="0" applyFont="1" applyFill="1" applyAlignment="1">
      <alignment horizontal="center"/>
    </xf>
    <xf numFmtId="0" fontId="0" fillId="9" borderId="15" xfId="0" applyFill="1" applyBorder="1" applyAlignment="1">
      <alignment horizontal="center" vertical="center" wrapText="1"/>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10" fillId="15" borderId="2" xfId="0" applyFont="1" applyFill="1" applyBorder="1" applyAlignment="1">
      <alignment horizontal="center"/>
    </xf>
    <xf numFmtId="0" fontId="10" fillId="15" borderId="3" xfId="0" applyFont="1" applyFill="1" applyBorder="1" applyAlignment="1">
      <alignment horizontal="center"/>
    </xf>
    <xf numFmtId="0" fontId="10" fillId="15" borderId="4" xfId="0" applyFont="1" applyFill="1" applyBorder="1" applyAlignment="1">
      <alignment horizontal="center"/>
    </xf>
    <xf numFmtId="0" fontId="10" fillId="15" borderId="32" xfId="0" applyFont="1" applyFill="1" applyBorder="1" applyAlignment="1">
      <alignment horizontal="center"/>
    </xf>
    <xf numFmtId="0" fontId="10" fillId="15" borderId="9" xfId="0" applyFont="1" applyFill="1" applyBorder="1" applyAlignment="1">
      <alignment horizontal="center"/>
    </xf>
    <xf numFmtId="0" fontId="10" fillId="15" borderId="11" xfId="0" applyFont="1" applyFill="1" applyBorder="1" applyAlignment="1">
      <alignment horizontal="center"/>
    </xf>
    <xf numFmtId="0" fontId="6" fillId="9" borderId="26" xfId="0" applyFont="1" applyFill="1" applyBorder="1" applyAlignment="1">
      <alignment horizontal="center" vertical="center" textRotation="90"/>
    </xf>
    <xf numFmtId="0" fontId="6" fillId="9" borderId="21" xfId="0" applyFont="1" applyFill="1" applyBorder="1" applyAlignment="1">
      <alignment horizontal="center" vertical="center" textRotation="90"/>
    </xf>
    <xf numFmtId="0" fontId="6" fillId="9" borderId="27" xfId="0" applyFont="1" applyFill="1" applyBorder="1" applyAlignment="1">
      <alignment horizontal="center" vertical="center" textRotation="90"/>
    </xf>
    <xf numFmtId="0" fontId="21" fillId="9" borderId="84" xfId="0" applyFont="1" applyFill="1" applyBorder="1" applyAlignment="1">
      <alignment horizontal="center"/>
    </xf>
    <xf numFmtId="0" fontId="21" fillId="9" borderId="8" xfId="0" applyFont="1" applyFill="1" applyBorder="1" applyAlignment="1">
      <alignment horizontal="center"/>
    </xf>
    <xf numFmtId="0" fontId="21" fillId="9" borderId="31" xfId="0" applyFont="1" applyFill="1" applyBorder="1" applyAlignment="1">
      <alignment horizontal="center"/>
    </xf>
    <xf numFmtId="0" fontId="0" fillId="9" borderId="85" xfId="0" applyFill="1" applyBorder="1" applyAlignment="1">
      <alignment horizontal="center" vertical="center" wrapText="1"/>
    </xf>
    <xf numFmtId="0" fontId="6" fillId="0" borderId="89" xfId="0" applyFont="1" applyBorder="1" applyAlignment="1">
      <alignment horizontal="left" vertical="center" wrapText="1"/>
    </xf>
    <xf numFmtId="0" fontId="6" fillId="0" borderId="37" xfId="0" applyFont="1" applyBorder="1" applyAlignment="1">
      <alignment horizontal="left" vertical="center" wrapText="1"/>
    </xf>
    <xf numFmtId="0" fontId="6" fillId="0" borderId="41" xfId="0" applyFont="1" applyBorder="1" applyAlignment="1">
      <alignment horizontal="left" vertical="center" wrapText="1"/>
    </xf>
    <xf numFmtId="0" fontId="10" fillId="15" borderId="10" xfId="0" applyFont="1" applyFill="1" applyBorder="1" applyAlignment="1">
      <alignment horizontal="center" vertical="center"/>
    </xf>
    <xf numFmtId="0" fontId="0" fillId="0" borderId="111" xfId="0" applyBorder="1" applyAlignment="1">
      <alignment horizontal="left" vertical="center"/>
    </xf>
    <xf numFmtId="0" fontId="0" fillId="8" borderId="0" xfId="0" applyFill="1" applyAlignment="1">
      <alignment horizontal="center"/>
    </xf>
    <xf numFmtId="0" fontId="0" fillId="8" borderId="0" xfId="0" applyFill="1" applyAlignment="1">
      <alignment horizontal="left"/>
    </xf>
    <xf numFmtId="0" fontId="0" fillId="8" borderId="0" xfId="0" applyFill="1" applyAlignment="1">
      <alignment horizontal="left" vertical="center" wrapText="1"/>
    </xf>
    <xf numFmtId="0" fontId="6" fillId="12" borderId="3"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21" xfId="0" applyFont="1" applyFill="1" applyBorder="1" applyAlignment="1">
      <alignment horizontal="center" vertical="center" textRotation="90"/>
    </xf>
    <xf numFmtId="0" fontId="6" fillId="12" borderId="27" xfId="0" applyFont="1" applyFill="1" applyBorder="1" applyAlignment="1">
      <alignment horizontal="center" vertical="center" textRotation="90"/>
    </xf>
    <xf numFmtId="0" fontId="7" fillId="11" borderId="25" xfId="0" applyFont="1" applyFill="1" applyBorder="1" applyAlignment="1">
      <alignment horizontal="right"/>
    </xf>
    <xf numFmtId="0" fontId="6" fillId="18" borderId="114" xfId="0" applyFont="1" applyFill="1" applyBorder="1" applyAlignment="1">
      <alignment horizontal="center" vertical="center"/>
    </xf>
    <xf numFmtId="0" fontId="6" fillId="18" borderId="113" xfId="0" applyFont="1" applyFill="1" applyBorder="1" applyAlignment="1">
      <alignment horizontal="center" vertical="center"/>
    </xf>
    <xf numFmtId="168" fontId="0" fillId="9" borderId="113" xfId="0" applyNumberFormat="1" applyFill="1" applyBorder="1" applyAlignment="1">
      <alignment horizontal="center" vertical="center"/>
    </xf>
    <xf numFmtId="168" fontId="0" fillId="9" borderId="115" xfId="0" applyNumberFormat="1" applyFill="1" applyBorder="1" applyAlignment="1">
      <alignment horizontal="center" vertical="center"/>
    </xf>
    <xf numFmtId="0" fontId="19" fillId="13" borderId="2" xfId="0" applyFont="1" applyFill="1" applyBorder="1" applyAlignment="1">
      <alignment horizontal="center" vertical="center"/>
    </xf>
    <xf numFmtId="0" fontId="19" fillId="13" borderId="3" xfId="0" applyFont="1" applyFill="1" applyBorder="1" applyAlignment="1">
      <alignment horizontal="center" vertical="center"/>
    </xf>
    <xf numFmtId="0" fontId="19" fillId="13" borderId="4" xfId="0" applyFont="1" applyFill="1" applyBorder="1" applyAlignment="1">
      <alignment horizontal="center" vertical="center"/>
    </xf>
    <xf numFmtId="0" fontId="19" fillId="13" borderId="25" xfId="0" applyFont="1" applyFill="1" applyBorder="1" applyAlignment="1">
      <alignment horizontal="center" vertical="center"/>
    </xf>
    <xf numFmtId="0" fontId="19" fillId="13" borderId="13" xfId="0" applyFont="1" applyFill="1" applyBorder="1" applyAlignment="1">
      <alignment horizontal="center" vertical="center"/>
    </xf>
    <xf numFmtId="0" fontId="19" fillId="13" borderId="14" xfId="0" applyFont="1" applyFill="1" applyBorder="1" applyAlignment="1">
      <alignment horizontal="center" vertical="center"/>
    </xf>
    <xf numFmtId="0" fontId="30" fillId="13" borderId="2" xfId="0" applyFont="1" applyFill="1" applyBorder="1" applyAlignment="1">
      <alignment horizontal="center"/>
    </xf>
    <xf numFmtId="0" fontId="30" fillId="13" borderId="3" xfId="0" applyFont="1" applyFill="1" applyBorder="1" applyAlignment="1">
      <alignment horizontal="center"/>
    </xf>
    <xf numFmtId="0" fontId="30" fillId="13" borderId="4" xfId="0" applyFont="1" applyFill="1" applyBorder="1" applyAlignment="1">
      <alignment horizontal="center"/>
    </xf>
    <xf numFmtId="0" fontId="8" fillId="12" borderId="2" xfId="0" applyFont="1" applyFill="1" applyBorder="1" applyAlignment="1">
      <alignment horizontal="center"/>
    </xf>
    <xf numFmtId="0" fontId="8" fillId="12" borderId="3" xfId="0" applyFont="1" applyFill="1" applyBorder="1" applyAlignment="1">
      <alignment horizontal="center"/>
    </xf>
    <xf numFmtId="0" fontId="8" fillId="12" borderId="49" xfId="0" applyFont="1" applyFill="1" applyBorder="1" applyAlignment="1">
      <alignment horizontal="center"/>
    </xf>
    <xf numFmtId="0" fontId="0" fillId="8" borderId="0" xfId="0" applyFill="1" applyAlignment="1">
      <alignment horizontal="center" vertical="center" wrapText="1"/>
    </xf>
    <xf numFmtId="168" fontId="0" fillId="8" borderId="0" xfId="0" applyNumberFormat="1" applyFill="1" applyAlignment="1">
      <alignment horizontal="center" vertical="center"/>
    </xf>
    <xf numFmtId="0" fontId="21" fillId="15" borderId="39" xfId="0" applyFont="1" applyFill="1" applyBorder="1" applyAlignment="1">
      <alignment horizontal="center"/>
    </xf>
    <xf numFmtId="0" fontId="21" fillId="15" borderId="33" xfId="0" applyFont="1" applyFill="1" applyBorder="1" applyAlignment="1">
      <alignment horizontal="center"/>
    </xf>
    <xf numFmtId="0" fontId="21" fillId="15" borderId="30" xfId="0" applyFont="1" applyFill="1" applyBorder="1" applyAlignment="1">
      <alignment horizontal="center"/>
    </xf>
    <xf numFmtId="0" fontId="6" fillId="9" borderId="89" xfId="0" applyFont="1" applyFill="1" applyBorder="1" applyAlignment="1">
      <alignment horizontal="left" vertical="center" wrapText="1"/>
    </xf>
    <xf numFmtId="0" fontId="6" fillId="9" borderId="37"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9" fillId="9" borderId="22" xfId="0" applyFont="1" applyFill="1" applyBorder="1" applyAlignment="1">
      <alignment horizontal="center" vertical="center" textRotation="90" wrapText="1"/>
    </xf>
    <xf numFmtId="0" fontId="9" fillId="9" borderId="23" xfId="0" applyFont="1" applyFill="1" applyBorder="1" applyAlignment="1">
      <alignment horizontal="center" vertical="center" textRotation="90" wrapText="1"/>
    </xf>
    <xf numFmtId="0" fontId="9" fillId="9" borderId="24" xfId="0" applyFont="1" applyFill="1" applyBorder="1" applyAlignment="1">
      <alignment horizontal="center" vertical="center" textRotation="90" wrapText="1"/>
    </xf>
    <xf numFmtId="0" fontId="0" fillId="8" borderId="0" xfId="0" applyFill="1" applyAlignment="1">
      <alignment horizontal="center" wrapText="1"/>
    </xf>
    <xf numFmtId="168" fontId="0" fillId="8" borderId="0" xfId="0" applyNumberFormat="1" applyFill="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6" fillId="9" borderId="5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21" fillId="8" borderId="0" xfId="0" applyFont="1" applyFill="1" applyAlignment="1">
      <alignment horizontal="left" vertical="center" wrapText="1"/>
    </xf>
    <xf numFmtId="0" fontId="21" fillId="8" borderId="0" xfId="0" applyFont="1" applyFill="1" applyAlignment="1">
      <alignment horizontal="left" vertical="center"/>
    </xf>
    <xf numFmtId="0" fontId="21" fillId="11" borderId="56"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0" fillId="0" borderId="87" xfId="0" applyBorder="1" applyAlignment="1">
      <alignment horizontal="left" vertical="center" wrapText="1"/>
    </xf>
    <xf numFmtId="0" fontId="0" fillId="0" borderId="87" xfId="0" applyBorder="1" applyAlignment="1">
      <alignment vertical="center" wrapText="1"/>
    </xf>
    <xf numFmtId="0" fontId="0" fillId="0" borderId="1" xfId="0" applyBorder="1" applyAlignment="1">
      <alignment vertical="center" wrapText="1"/>
    </xf>
    <xf numFmtId="0" fontId="0" fillId="0" borderId="26" xfId="0" applyBorder="1" applyAlignment="1">
      <alignment horizontal="left" vertical="center" wrapText="1"/>
    </xf>
    <xf numFmtId="0" fontId="0" fillId="0" borderId="15" xfId="0" applyBorder="1" applyAlignment="1">
      <alignment horizontal="left" vertical="center" wrapText="1"/>
    </xf>
    <xf numFmtId="0" fontId="21" fillId="9" borderId="28" xfId="0" applyFont="1" applyFill="1" applyBorder="1" applyAlignment="1">
      <alignment horizontal="center" vertical="center"/>
    </xf>
    <xf numFmtId="0" fontId="21" fillId="9" borderId="0" xfId="0" applyFont="1" applyFill="1" applyAlignment="1">
      <alignment horizontal="center" vertical="center"/>
    </xf>
    <xf numFmtId="0" fontId="21" fillId="9" borderId="10" xfId="0" applyFont="1" applyFill="1" applyBorder="1" applyAlignment="1">
      <alignment horizontal="center" vertical="center"/>
    </xf>
    <xf numFmtId="0" fontId="0" fillId="9" borderId="0" xfId="0" applyFill="1" applyAlignment="1">
      <alignment horizontal="center" vertical="center"/>
    </xf>
    <xf numFmtId="0" fontId="0" fillId="9" borderId="10" xfId="0" applyFill="1" applyBorder="1" applyAlignment="1">
      <alignment horizontal="center" vertical="center"/>
    </xf>
    <xf numFmtId="0" fontId="0" fillId="9" borderId="28" xfId="0" applyFill="1" applyBorder="1" applyAlignment="1">
      <alignment horizontal="center" vertical="center"/>
    </xf>
    <xf numFmtId="0" fontId="0" fillId="9" borderId="25"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22" fillId="15" borderId="2"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2" fillId="15" borderId="4" xfId="0" applyFont="1" applyFill="1" applyBorder="1" applyAlignment="1">
      <alignment horizontal="center" vertical="center" wrapText="1"/>
    </xf>
    <xf numFmtId="0" fontId="22" fillId="15" borderId="28" xfId="0" applyFont="1" applyFill="1" applyBorder="1" applyAlignment="1">
      <alignment horizontal="center" vertical="center" wrapText="1"/>
    </xf>
    <xf numFmtId="0" fontId="22" fillId="15" borderId="0" xfId="0" applyFont="1" applyFill="1" applyAlignment="1">
      <alignment horizontal="center" vertical="center" wrapText="1"/>
    </xf>
    <xf numFmtId="0" fontId="22" fillId="15" borderId="10" xfId="0" applyFont="1" applyFill="1" applyBorder="1" applyAlignment="1">
      <alignment horizontal="center" vertical="center" wrapText="1"/>
    </xf>
    <xf numFmtId="0" fontId="0" fillId="0" borderId="90" xfId="0" applyBorder="1" applyAlignment="1">
      <alignment vertical="center" wrapText="1"/>
    </xf>
    <xf numFmtId="0" fontId="0" fillId="0" borderId="108" xfId="0" applyBorder="1" applyAlignment="1">
      <alignment vertical="center" wrapText="1"/>
    </xf>
    <xf numFmtId="0" fontId="0" fillId="0" borderId="40" xfId="0" applyBorder="1" applyAlignment="1">
      <alignment vertical="center" wrapText="1"/>
    </xf>
    <xf numFmtId="0" fontId="19" fillId="13" borderId="51" xfId="0" applyFont="1" applyFill="1" applyBorder="1" applyAlignment="1">
      <alignment horizontal="center"/>
    </xf>
    <xf numFmtId="0" fontId="19" fillId="13" borderId="60" xfId="0" applyFont="1" applyFill="1" applyBorder="1" applyAlignment="1">
      <alignment horizontal="center"/>
    </xf>
    <xf numFmtId="0" fontId="19" fillId="13" borderId="54" xfId="0" applyFont="1" applyFill="1" applyBorder="1" applyAlignment="1">
      <alignment horizontal="center"/>
    </xf>
    <xf numFmtId="0" fontId="19" fillId="13" borderId="53" xfId="0" applyFont="1" applyFill="1" applyBorder="1" applyAlignment="1">
      <alignment horizontal="center"/>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08" xfId="0" applyFont="1" applyBorder="1" applyAlignment="1">
      <alignment horizontal="left" vertical="center" wrapText="1"/>
    </xf>
    <xf numFmtId="0" fontId="17" fillId="0" borderId="88" xfId="0" applyFont="1" applyBorder="1" applyAlignment="1">
      <alignment horizontal="left" vertical="center" wrapText="1"/>
    </xf>
    <xf numFmtId="0" fontId="0" fillId="9" borderId="85" xfId="0" applyFill="1" applyBorder="1" applyAlignment="1">
      <alignment horizontal="left" vertical="top" wrapText="1"/>
    </xf>
    <xf numFmtId="0" fontId="0" fillId="9" borderId="29" xfId="0" applyFill="1" applyBorder="1" applyAlignment="1">
      <alignment horizontal="left" vertical="top" wrapText="1"/>
    </xf>
    <xf numFmtId="0" fontId="0" fillId="9" borderId="86" xfId="0" applyFill="1" applyBorder="1" applyAlignment="1">
      <alignment horizontal="left" vertical="top" wrapText="1"/>
    </xf>
    <xf numFmtId="0" fontId="0" fillId="9" borderId="34" xfId="0" applyFill="1" applyBorder="1" applyAlignment="1">
      <alignment horizontal="left" vertical="top" wrapText="1"/>
    </xf>
    <xf numFmtId="0" fontId="6" fillId="9" borderId="84" xfId="0" applyFont="1" applyFill="1" applyBorder="1" applyAlignment="1">
      <alignment horizontal="center"/>
    </xf>
    <xf numFmtId="0" fontId="6" fillId="9" borderId="31" xfId="0" applyFont="1" applyFill="1" applyBorder="1" applyAlignment="1">
      <alignment horizontal="center"/>
    </xf>
    <xf numFmtId="0" fontId="37" fillId="0" borderId="32" xfId="0" applyFont="1" applyBorder="1" applyAlignment="1">
      <alignment horizontal="left" vertical="center"/>
    </xf>
    <xf numFmtId="0" fontId="37" fillId="0" borderId="9" xfId="0" applyFont="1" applyBorder="1" applyAlignment="1">
      <alignment horizontal="left" vertical="center"/>
    </xf>
    <xf numFmtId="0" fontId="37" fillId="0" borderId="11" xfId="0" applyFont="1" applyBorder="1" applyAlignment="1">
      <alignment horizontal="left" vertical="center"/>
    </xf>
    <xf numFmtId="0" fontId="17" fillId="0" borderId="37" xfId="0" applyFont="1" applyBorder="1" applyAlignment="1">
      <alignment horizontal="left"/>
    </xf>
    <xf numFmtId="0" fontId="17" fillId="0" borderId="38" xfId="0" applyFont="1" applyBorder="1" applyAlignment="1">
      <alignment horizontal="left"/>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21" fillId="10" borderId="28" xfId="0" applyFont="1" applyFill="1" applyBorder="1" applyAlignment="1">
      <alignment horizontal="center" vertical="center"/>
    </xf>
    <xf numFmtId="0" fontId="21" fillId="10" borderId="0" xfId="0" applyFont="1" applyFill="1" applyAlignment="1">
      <alignment horizontal="center" vertical="center"/>
    </xf>
    <xf numFmtId="0" fontId="21" fillId="10" borderId="10" xfId="0" applyFont="1" applyFill="1" applyBorder="1" applyAlignment="1">
      <alignment horizontal="center" vertical="center"/>
    </xf>
    <xf numFmtId="0" fontId="21" fillId="11" borderId="19" xfId="0" applyFont="1" applyFill="1" applyBorder="1" applyAlignment="1">
      <alignment horizontal="left" vertical="center" wrapText="1"/>
    </xf>
    <xf numFmtId="0" fontId="21" fillId="11" borderId="17" xfId="0" applyFont="1" applyFill="1" applyBorder="1" applyAlignment="1">
      <alignment horizontal="left" vertical="center" wrapText="1"/>
    </xf>
    <xf numFmtId="0" fontId="0" fillId="0" borderId="59"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1" xfId="0" applyBorder="1" applyAlignment="1">
      <alignment horizontal="left"/>
    </xf>
    <xf numFmtId="0" fontId="0" fillId="0" borderId="5" xfId="0" applyBorder="1" applyAlignment="1">
      <alignment horizontal="left"/>
    </xf>
    <xf numFmtId="0" fontId="6" fillId="9" borderId="19" xfId="0" applyFont="1" applyFill="1" applyBorder="1" applyAlignment="1">
      <alignment horizontal="center" vertical="center" wrapText="1"/>
    </xf>
    <xf numFmtId="0" fontId="7" fillId="11" borderId="9" xfId="0" applyFont="1" applyFill="1" applyBorder="1" applyAlignment="1">
      <alignment horizontal="right" vertical="center"/>
    </xf>
    <xf numFmtId="0" fontId="6" fillId="12" borderId="26" xfId="0" applyFont="1" applyFill="1" applyBorder="1" applyAlignment="1">
      <alignment horizontal="center" vertical="center" wrapText="1"/>
    </xf>
    <xf numFmtId="0" fontId="0" fillId="8" borderId="0" xfId="0" applyFill="1" applyAlignment="1">
      <alignment horizontal="left" wrapText="1"/>
    </xf>
    <xf numFmtId="0" fontId="10" fillId="8" borderId="0" xfId="0" applyFont="1" applyFill="1" applyAlignment="1">
      <alignment horizontal="left" wrapText="1"/>
    </xf>
    <xf numFmtId="0" fontId="21" fillId="11" borderId="106" xfId="0" applyFont="1" applyFill="1" applyBorder="1" applyAlignment="1">
      <alignment horizontal="center" vertical="center"/>
    </xf>
    <xf numFmtId="0" fontId="21" fillId="11" borderId="30" xfId="0" applyFont="1" applyFill="1" applyBorder="1" applyAlignment="1">
      <alignment horizontal="center" vertical="center"/>
    </xf>
    <xf numFmtId="1" fontId="22" fillId="0" borderId="111" xfId="0" applyNumberFormat="1" applyFont="1" applyBorder="1" applyAlignment="1">
      <alignment horizontal="center" vertical="center"/>
    </xf>
    <xf numFmtId="1" fontId="22" fillId="0" borderId="38" xfId="0" applyNumberFormat="1" applyFont="1" applyBorder="1" applyAlignment="1">
      <alignment horizontal="center" vertical="center"/>
    </xf>
    <xf numFmtId="0" fontId="21" fillId="11" borderId="7" xfId="0" applyFont="1" applyFill="1" applyBorder="1" applyAlignment="1">
      <alignment horizontal="center" vertical="center"/>
    </xf>
    <xf numFmtId="0" fontId="21" fillId="11" borderId="59" xfId="0" applyFont="1" applyFill="1" applyBorder="1" applyAlignment="1">
      <alignment horizontal="center" vertical="center"/>
    </xf>
    <xf numFmtId="1" fontId="21" fillId="0" borderId="112" xfId="0" applyNumberFormat="1" applyFont="1" applyBorder="1" applyAlignment="1">
      <alignment horizontal="center" vertical="center"/>
    </xf>
    <xf numFmtId="1" fontId="21" fillId="0" borderId="88" xfId="0" applyNumberFormat="1" applyFont="1" applyBorder="1" applyAlignment="1">
      <alignment horizontal="center" vertical="center"/>
    </xf>
    <xf numFmtId="0" fontId="21" fillId="9" borderId="1" xfId="0" applyFont="1" applyFill="1" applyBorder="1" applyAlignment="1">
      <alignment horizontal="center"/>
    </xf>
    <xf numFmtId="0" fontId="21" fillId="9" borderId="5" xfId="0" applyFont="1" applyFill="1" applyBorder="1" applyAlignment="1">
      <alignment horizontal="center"/>
    </xf>
    <xf numFmtId="0" fontId="21" fillId="11" borderId="5" xfId="0" applyFont="1" applyFill="1" applyBorder="1" applyAlignment="1">
      <alignment horizontal="center" vertical="center" wrapText="1"/>
    </xf>
    <xf numFmtId="0" fontId="42" fillId="10" borderId="2" xfId="0" applyFont="1" applyFill="1" applyBorder="1" applyAlignment="1">
      <alignment horizontal="center" vertical="center"/>
    </xf>
    <xf numFmtId="0" fontId="42" fillId="10" borderId="3" xfId="0" applyFont="1" applyFill="1" applyBorder="1" applyAlignment="1">
      <alignment horizontal="center" vertical="center"/>
    </xf>
    <xf numFmtId="0" fontId="42" fillId="10" borderId="4" xfId="0" applyFont="1" applyFill="1" applyBorder="1" applyAlignment="1">
      <alignment horizontal="center" vertical="center"/>
    </xf>
    <xf numFmtId="0" fontId="43" fillId="10" borderId="25" xfId="0" applyFont="1" applyFill="1" applyBorder="1" applyAlignment="1">
      <alignment horizontal="center" vertical="center"/>
    </xf>
    <xf numFmtId="0" fontId="42" fillId="10" borderId="13" xfId="0" applyFont="1" applyFill="1" applyBorder="1" applyAlignment="1">
      <alignment horizontal="center" vertical="center"/>
    </xf>
    <xf numFmtId="0" fontId="42" fillId="10" borderId="14" xfId="0" applyFont="1" applyFill="1" applyBorder="1" applyAlignment="1">
      <alignment horizontal="center" vertical="center"/>
    </xf>
    <xf numFmtId="0" fontId="43" fillId="10" borderId="28" xfId="0" applyFont="1" applyFill="1" applyBorder="1" applyAlignment="1">
      <alignment horizontal="center" vertical="center"/>
    </xf>
    <xf numFmtId="0" fontId="42" fillId="10" borderId="10" xfId="0" applyFont="1" applyFill="1" applyBorder="1" applyAlignment="1">
      <alignment horizontal="center" vertical="center"/>
    </xf>
    <xf numFmtId="0" fontId="23" fillId="9" borderId="15"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42" fillId="10" borderId="28" xfId="0" applyFont="1" applyFill="1" applyBorder="1" applyAlignment="1">
      <alignment horizontal="center" vertical="center"/>
    </xf>
    <xf numFmtId="0" fontId="42" fillId="10" borderId="0" xfId="0" applyFont="1" applyFill="1" applyAlignment="1">
      <alignment horizontal="center" vertical="center"/>
    </xf>
    <xf numFmtId="0" fontId="43" fillId="10" borderId="13" xfId="0" applyFont="1" applyFill="1" applyBorder="1" applyAlignment="1">
      <alignment horizontal="center" vertical="center"/>
    </xf>
    <xf numFmtId="0" fontId="43" fillId="10" borderId="14" xfId="0" applyFont="1" applyFill="1" applyBorder="1" applyAlignment="1">
      <alignment horizontal="center" vertical="center"/>
    </xf>
    <xf numFmtId="0" fontId="23" fillId="9" borderId="15" xfId="0" applyFont="1" applyFill="1" applyBorder="1" applyAlignment="1">
      <alignment horizontal="center" wrapText="1"/>
    </xf>
    <xf numFmtId="0" fontId="23" fillId="9" borderId="17" xfId="0" applyFont="1" applyFill="1" applyBorder="1" applyAlignment="1">
      <alignment horizontal="center" wrapText="1"/>
    </xf>
  </cellXfs>
  <cellStyles count="6">
    <cellStyle name="Currency" xfId="1" builtinId="4"/>
    <cellStyle name="Hyperlink" xfId="2" builtinId="8"/>
    <cellStyle name="Normal" xfId="0" builtinId="0"/>
    <cellStyle name="Normal 13 2 3" xfId="4" xr:uid="{3FA70F01-F79F-694E-8339-812E768FD1D3}"/>
    <cellStyle name="Normal 2" xfId="3" xr:uid="{CFE1DA58-7F91-B84A-8320-3EAA7528FF6B}"/>
    <cellStyle name="Percent" xfId="5" builtinId="5"/>
  </cellStyles>
  <dxfs count="1">
    <dxf>
      <font>
        <color rgb="FF9C0006"/>
      </font>
      <fill>
        <patternFill>
          <bgColor rgb="FFFFC7CE"/>
        </patternFill>
      </fill>
    </dxf>
  </dxfs>
  <tableStyles count="0" defaultTableStyle="TableStyleMedium2" defaultPivotStyle="PivotStyleMedium9"/>
  <colors>
    <mruColors>
      <color rgb="FF1F3764"/>
      <color rgb="FFF7E0E0"/>
      <color rgb="FFEEB3B5"/>
      <color rgb="FF4372C5"/>
      <color rgb="FFB4C6E8"/>
      <color rgb="FFF5D5E5"/>
      <color rgb="FF8EAADB"/>
      <color rgb="FFEDE3F8"/>
      <color rgb="FFE1CFF3"/>
      <color rgb="FFF9E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a:t>Total CapEx, Install, and O&amp;M (1 year) Costs (</a:t>
            </a:r>
            <a:r>
              <a:rPr lang="en-US" i="1"/>
              <a:t>Single Device</a:t>
            </a:r>
            <a:r>
              <a:rPr lang="en-US"/>
              <a:t>)</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RESULTS!$N$8</c:f>
              <c:strCache>
                <c:ptCount val="1"/>
                <c:pt idx="0">
                  <c:v>Nearshore 
(Mass. State Waters)</c:v>
                </c:pt>
              </c:strCache>
            </c:strRef>
          </c:tx>
          <c:spPr>
            <a:solidFill>
              <a:schemeClr val="accent5">
                <a:lumMod val="60000"/>
                <a:lumOff val="40000"/>
              </a:schemeClr>
            </a:solidFill>
            <a:ln>
              <a:solidFill>
                <a:schemeClr val="accent5"/>
              </a:solidFill>
            </a:ln>
            <a:effectLst/>
          </c:spPr>
          <c:invertIfNegative val="0"/>
          <c:cat>
            <c:strRef>
              <c:f>RESULTS!$M$9:$M$14</c:f>
              <c:strCache>
                <c:ptCount val="6"/>
                <c:pt idx="0">
                  <c:v>MADWEC (AUV scenario)</c:v>
                </c:pt>
                <c:pt idx="1">
                  <c:v>MADWEC  
(Remote Monitoring scenario)</c:v>
                </c:pt>
                <c:pt idx="2">
                  <c:v>Solar Buoy (AUV scenario)</c:v>
                </c:pt>
                <c:pt idx="3">
                  <c:v>Solar Buoy (Remote Monitoring scenario)</c:v>
                </c:pt>
                <c:pt idx="4">
                  <c:v>Batteries (AUV scenario)</c:v>
                </c:pt>
                <c:pt idx="5">
                  <c:v>Batteries (Remote Monitoring scenario)</c:v>
                </c:pt>
              </c:strCache>
            </c:strRef>
          </c:cat>
          <c:val>
            <c:numRef>
              <c:f>RESULTS!$N$9:$N$14</c:f>
              <c:numCache>
                <c:formatCode>"$"#,##0</c:formatCode>
                <c:ptCount val="6"/>
                <c:pt idx="0">
                  <c:v>3043651.0043333331</c:v>
                </c:pt>
                <c:pt idx="1">
                  <c:v>3043651.0043333331</c:v>
                </c:pt>
                <c:pt idx="2">
                  <c:v>3120161.4563333336</c:v>
                </c:pt>
                <c:pt idx="3">
                  <c:v>3120161.4563333336</c:v>
                </c:pt>
                <c:pt idx="4">
                  <c:v>3164022.7706666663</c:v>
                </c:pt>
                <c:pt idx="5">
                  <c:v>3123222.7706666663</c:v>
                </c:pt>
              </c:numCache>
            </c:numRef>
          </c:val>
          <c:extLst>
            <c:ext xmlns:c16="http://schemas.microsoft.com/office/drawing/2014/chart" uri="{C3380CC4-5D6E-409C-BE32-E72D297353CC}">
              <c16:uniqueId val="{00000006-1B2E-0046-92C4-7E54AF524697}"/>
            </c:ext>
          </c:extLst>
        </c:ser>
        <c:ser>
          <c:idx val="1"/>
          <c:order val="1"/>
          <c:tx>
            <c:strRef>
              <c:f>RESULTS!$O$8</c:f>
              <c:strCache>
                <c:ptCount val="1"/>
                <c:pt idx="0">
                  <c:v>Far Offshore
 (Mass. Federal Waters)</c:v>
                </c:pt>
              </c:strCache>
            </c:strRef>
          </c:tx>
          <c:spPr>
            <a:solidFill>
              <a:schemeClr val="accent6">
                <a:lumMod val="60000"/>
                <a:lumOff val="40000"/>
              </a:schemeClr>
            </a:solidFill>
            <a:ln>
              <a:solidFill>
                <a:schemeClr val="accent6"/>
              </a:solidFill>
            </a:ln>
            <a:effectLst/>
          </c:spPr>
          <c:invertIfNegative val="0"/>
          <c:cat>
            <c:strRef>
              <c:f>RESULTS!$M$9:$M$14</c:f>
              <c:strCache>
                <c:ptCount val="6"/>
                <c:pt idx="0">
                  <c:v>MADWEC (AUV scenario)</c:v>
                </c:pt>
                <c:pt idx="1">
                  <c:v>MADWEC  
(Remote Monitoring scenario)</c:v>
                </c:pt>
                <c:pt idx="2">
                  <c:v>Solar Buoy (AUV scenario)</c:v>
                </c:pt>
                <c:pt idx="3">
                  <c:v>Solar Buoy (Remote Monitoring scenario)</c:v>
                </c:pt>
                <c:pt idx="4">
                  <c:v>Batteries (AUV scenario)</c:v>
                </c:pt>
                <c:pt idx="5">
                  <c:v>Batteries (Remote Monitoring scenario)</c:v>
                </c:pt>
              </c:strCache>
            </c:strRef>
          </c:cat>
          <c:val>
            <c:numRef>
              <c:f>RESULTS!$O$9:$O$14</c:f>
              <c:numCache>
                <c:formatCode>"$"#,##0</c:formatCode>
                <c:ptCount val="6"/>
                <c:pt idx="0">
                  <c:v>3106345.0303333332</c:v>
                </c:pt>
                <c:pt idx="1">
                  <c:v>3106345.0303333332</c:v>
                </c:pt>
                <c:pt idx="2">
                  <c:v>3188654.4823333332</c:v>
                </c:pt>
                <c:pt idx="3">
                  <c:v>3188654.4823333332</c:v>
                </c:pt>
                <c:pt idx="4">
                  <c:v>3255025.2526666666</c:v>
                </c:pt>
                <c:pt idx="5">
                  <c:v>3214225.2526666666</c:v>
                </c:pt>
              </c:numCache>
            </c:numRef>
          </c:val>
          <c:extLst>
            <c:ext xmlns:c16="http://schemas.microsoft.com/office/drawing/2014/chart" uri="{C3380CC4-5D6E-409C-BE32-E72D297353CC}">
              <c16:uniqueId val="{00000007-1B2E-0046-92C4-7E54AF524697}"/>
            </c:ext>
          </c:extLst>
        </c:ser>
        <c:ser>
          <c:idx val="2"/>
          <c:order val="2"/>
          <c:tx>
            <c:strRef>
              <c:f>RESULTS!$P$8</c:f>
              <c:strCache>
                <c:ptCount val="1"/>
                <c:pt idx="0">
                  <c:v>High Latitude
 (Alaska State Waters)</c:v>
                </c:pt>
              </c:strCache>
            </c:strRef>
          </c:tx>
          <c:spPr>
            <a:solidFill>
              <a:schemeClr val="accent4">
                <a:lumMod val="60000"/>
                <a:lumOff val="40000"/>
              </a:schemeClr>
            </a:solidFill>
            <a:ln>
              <a:solidFill>
                <a:schemeClr val="accent4"/>
              </a:solidFill>
            </a:ln>
            <a:effectLst/>
          </c:spPr>
          <c:invertIfNegative val="0"/>
          <c:cat>
            <c:strRef>
              <c:f>RESULTS!$M$9:$M$14</c:f>
              <c:strCache>
                <c:ptCount val="6"/>
                <c:pt idx="0">
                  <c:v>MADWEC (AUV scenario)</c:v>
                </c:pt>
                <c:pt idx="1">
                  <c:v>MADWEC  
(Remote Monitoring scenario)</c:v>
                </c:pt>
                <c:pt idx="2">
                  <c:v>Solar Buoy (AUV scenario)</c:v>
                </c:pt>
                <c:pt idx="3">
                  <c:v>Solar Buoy (Remote Monitoring scenario)</c:v>
                </c:pt>
                <c:pt idx="4">
                  <c:v>Batteries (AUV scenario)</c:v>
                </c:pt>
                <c:pt idx="5">
                  <c:v>Batteries (Remote Monitoring scenario)</c:v>
                </c:pt>
              </c:strCache>
            </c:strRef>
          </c:cat>
          <c:val>
            <c:numRef>
              <c:f>RESULTS!$P$9:$P$14</c:f>
              <c:numCache>
                <c:formatCode>"$"#,##0</c:formatCode>
                <c:ptCount val="6"/>
                <c:pt idx="0">
                  <c:v>3090824.3300703703</c:v>
                </c:pt>
                <c:pt idx="1">
                  <c:v>3090824.3300703703</c:v>
                </c:pt>
                <c:pt idx="2">
                  <c:v>3167278.1750703705</c:v>
                </c:pt>
                <c:pt idx="3">
                  <c:v>3167278.1750703705</c:v>
                </c:pt>
                <c:pt idx="4">
                  <c:v>3230137.2287703701</c:v>
                </c:pt>
                <c:pt idx="5">
                  <c:v>3189337.2287703701</c:v>
                </c:pt>
              </c:numCache>
            </c:numRef>
          </c:val>
          <c:extLst>
            <c:ext xmlns:c16="http://schemas.microsoft.com/office/drawing/2014/chart" uri="{C3380CC4-5D6E-409C-BE32-E72D297353CC}">
              <c16:uniqueId val="{00000008-1B2E-0046-92C4-7E54AF524697}"/>
            </c:ext>
          </c:extLst>
        </c:ser>
        <c:dLbls>
          <c:showLegendKey val="0"/>
          <c:showVal val="0"/>
          <c:showCatName val="0"/>
          <c:showSerName val="0"/>
          <c:showPercent val="0"/>
          <c:showBubbleSize val="0"/>
        </c:dLbls>
        <c:gapWidth val="219"/>
        <c:overlap val="-27"/>
        <c:axId val="1498715072"/>
        <c:axId val="1498755664"/>
      </c:barChart>
      <c:catAx>
        <c:axId val="149871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498755664"/>
        <c:crosses val="autoZero"/>
        <c:auto val="1"/>
        <c:lblAlgn val="ctr"/>
        <c:lblOffset val="100"/>
        <c:noMultiLvlLbl val="0"/>
      </c:catAx>
      <c:valAx>
        <c:axId val="1498755664"/>
        <c:scaling>
          <c:orientation val="minMax"/>
          <c:max val="6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498715072"/>
        <c:crosses val="autoZero"/>
        <c:crossBetween val="between"/>
        <c:majorUnit val="1000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600"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a:t>Hardware</a:t>
            </a:r>
            <a:r>
              <a:rPr lang="en-US" sz="1600" baseline="0"/>
              <a:t> Costs (</a:t>
            </a:r>
            <a:r>
              <a:rPr lang="en-US" sz="1600" i="1" baseline="0"/>
              <a:t>Single Device</a:t>
            </a:r>
            <a:r>
              <a:rPr lang="en-US" sz="1600" baseline="0"/>
              <a:t>)</a:t>
            </a:r>
            <a:endParaRPr lang="en-US" sz="1600"/>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RESULTS!$M$71:$M$73</c:f>
              <c:strCache>
                <c:ptCount val="3"/>
                <c:pt idx="0">
                  <c:v>MADWEC</c:v>
                </c:pt>
                <c:pt idx="1">
                  <c:v>Solar Buoy</c:v>
                </c:pt>
                <c:pt idx="2">
                  <c:v>Battery</c:v>
                </c:pt>
              </c:strCache>
            </c:strRef>
          </c:tx>
          <c:spPr>
            <a:solidFill>
              <a:schemeClr val="accent5">
                <a:lumMod val="60000"/>
                <a:lumOff val="40000"/>
              </a:schemeClr>
            </a:solidFill>
            <a:ln>
              <a:solidFill>
                <a:schemeClr val="accent5"/>
              </a:solidFill>
            </a:ln>
            <a:effectLst/>
          </c:spPr>
          <c:invertIfNegative val="0"/>
          <c:cat>
            <c:strRef>
              <c:f>RESULTS!$M$71:$M$73</c:f>
              <c:strCache>
                <c:ptCount val="3"/>
                <c:pt idx="0">
                  <c:v>MADWEC</c:v>
                </c:pt>
                <c:pt idx="1">
                  <c:v>Solar Buoy</c:v>
                </c:pt>
                <c:pt idx="2">
                  <c:v>Battery</c:v>
                </c:pt>
              </c:strCache>
            </c:strRef>
          </c:cat>
          <c:val>
            <c:numRef>
              <c:f>RESULTS!$N$71:$N$73</c:f>
              <c:numCache>
                <c:formatCode>"$"#,##0</c:formatCode>
                <c:ptCount val="3"/>
                <c:pt idx="0">
                  <c:v>37946.61</c:v>
                </c:pt>
                <c:pt idx="1">
                  <c:v>120621</c:v>
                </c:pt>
                <c:pt idx="2">
                  <c:v>23376</c:v>
                </c:pt>
              </c:numCache>
            </c:numRef>
          </c:val>
          <c:extLst>
            <c:ext xmlns:c16="http://schemas.microsoft.com/office/drawing/2014/chart" uri="{C3380CC4-5D6E-409C-BE32-E72D297353CC}">
              <c16:uniqueId val="{00000001-877D-4A41-B832-89245E962206}"/>
            </c:ext>
          </c:extLst>
        </c:ser>
        <c:dLbls>
          <c:showLegendKey val="0"/>
          <c:showVal val="0"/>
          <c:showCatName val="0"/>
          <c:showSerName val="0"/>
          <c:showPercent val="0"/>
          <c:showBubbleSize val="0"/>
        </c:dLbls>
        <c:gapWidth val="219"/>
        <c:overlap val="-27"/>
        <c:axId val="1498715072"/>
        <c:axId val="1498755664"/>
      </c:barChart>
      <c:catAx>
        <c:axId val="149871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498755664"/>
        <c:crosses val="autoZero"/>
        <c:auto val="1"/>
        <c:lblAlgn val="ctr"/>
        <c:lblOffset val="100"/>
        <c:noMultiLvlLbl val="0"/>
      </c:catAx>
      <c:valAx>
        <c:axId val="1498755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498715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b="1"/>
              <a:t>Energy Requirement Fulfillments</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40882866320292E-2"/>
          <c:y val="9.3914269833445141E-2"/>
          <c:w val="0.78875404634413215"/>
          <c:h val="0.78988594460567862"/>
        </c:manualLayout>
      </c:layout>
      <c:barChart>
        <c:barDir val="col"/>
        <c:grouping val="clustered"/>
        <c:varyColors val="0"/>
        <c:ser>
          <c:idx val="0"/>
          <c:order val="0"/>
          <c:tx>
            <c:strRef>
              <c:f>RESULTS!$M$100</c:f>
              <c:strCache>
                <c:ptCount val="1"/>
                <c:pt idx="0">
                  <c:v>MADWEC + 
AUV</c:v>
                </c:pt>
              </c:strCache>
            </c:strRef>
          </c:tx>
          <c:spPr>
            <a:solidFill>
              <a:schemeClr val="accent5">
                <a:lumMod val="40000"/>
                <a:lumOff val="60000"/>
              </a:schemeClr>
            </a:solidFill>
            <a:ln>
              <a:solidFill>
                <a:schemeClr val="accent5">
                  <a:lumMod val="60000"/>
                  <a:lumOff val="40000"/>
                </a:schemeClr>
              </a:solidFill>
            </a:ln>
            <a:effectLst/>
          </c:spPr>
          <c:invertIfNegative val="0"/>
          <c:cat>
            <c:strRef>
              <c:f>RESULTS!$N$99:$P$99</c:f>
              <c:strCache>
                <c:ptCount val="3"/>
                <c:pt idx="0">
                  <c:v>Nearshore 
(Mass. State Waters)</c:v>
                </c:pt>
                <c:pt idx="1">
                  <c:v>Far Offshore
 (Mass. Federal Waters)</c:v>
                </c:pt>
                <c:pt idx="2">
                  <c:v>High Latitude
 (Alaska State Waters)</c:v>
                </c:pt>
              </c:strCache>
            </c:strRef>
          </c:cat>
          <c:val>
            <c:numRef>
              <c:f>RESULTS!$N$100:$P$100</c:f>
              <c:numCache>
                <c:formatCode>0%</c:formatCode>
                <c:ptCount val="3"/>
                <c:pt idx="0">
                  <c:v>1.0007820679746211</c:v>
                </c:pt>
                <c:pt idx="1">
                  <c:v>1.0006019567191693</c:v>
                </c:pt>
                <c:pt idx="2">
                  <c:v>1.00085775928038</c:v>
                </c:pt>
              </c:numCache>
            </c:numRef>
          </c:val>
          <c:extLst>
            <c:ext xmlns:c16="http://schemas.microsoft.com/office/drawing/2014/chart" uri="{C3380CC4-5D6E-409C-BE32-E72D297353CC}">
              <c16:uniqueId val="{00000000-CF2F-8D47-8CE0-E23A813893D2}"/>
            </c:ext>
          </c:extLst>
        </c:ser>
        <c:ser>
          <c:idx val="1"/>
          <c:order val="1"/>
          <c:tx>
            <c:strRef>
              <c:f>RESULTS!$M$101</c:f>
              <c:strCache>
                <c:ptCount val="1"/>
                <c:pt idx="0">
                  <c:v>MADWEC + 
Remote Monitoring</c:v>
                </c:pt>
              </c:strCache>
            </c:strRef>
          </c:tx>
          <c:spPr>
            <a:solidFill>
              <a:schemeClr val="accent5"/>
            </a:solidFill>
            <a:ln>
              <a:solidFill>
                <a:schemeClr val="accent5">
                  <a:lumMod val="75000"/>
                </a:schemeClr>
              </a:solidFill>
            </a:ln>
            <a:effectLst/>
          </c:spPr>
          <c:invertIfNegative val="0"/>
          <c:cat>
            <c:strRef>
              <c:f>RESULTS!$N$99:$P$99</c:f>
              <c:strCache>
                <c:ptCount val="3"/>
                <c:pt idx="0">
                  <c:v>Nearshore 
(Mass. State Waters)</c:v>
                </c:pt>
                <c:pt idx="1">
                  <c:v>Far Offshore
 (Mass. Federal Waters)</c:v>
                </c:pt>
                <c:pt idx="2">
                  <c:v>High Latitude
 (Alaska State Waters)</c:v>
                </c:pt>
              </c:strCache>
            </c:strRef>
          </c:cat>
          <c:val>
            <c:numRef>
              <c:f>RESULTS!$N$101:$P$101</c:f>
              <c:numCache>
                <c:formatCode>0%</c:formatCode>
                <c:ptCount val="3"/>
                <c:pt idx="0">
                  <c:v>1.0022310767602987</c:v>
                </c:pt>
                <c:pt idx="1">
                  <c:v>1.0036433000526621</c:v>
                </c:pt>
                <c:pt idx="2">
                  <c:v>1.0015606088304365</c:v>
                </c:pt>
              </c:numCache>
            </c:numRef>
          </c:val>
          <c:extLst>
            <c:ext xmlns:c16="http://schemas.microsoft.com/office/drawing/2014/chart" uri="{C3380CC4-5D6E-409C-BE32-E72D297353CC}">
              <c16:uniqueId val="{00000001-CF2F-8D47-8CE0-E23A813893D2}"/>
            </c:ext>
          </c:extLst>
        </c:ser>
        <c:ser>
          <c:idx val="2"/>
          <c:order val="2"/>
          <c:tx>
            <c:strRef>
              <c:f>RESULTS!$M$102</c:f>
              <c:strCache>
                <c:ptCount val="1"/>
                <c:pt idx="0">
                  <c:v>Solar Buoy + 
AUV</c:v>
                </c:pt>
              </c:strCache>
            </c:strRef>
          </c:tx>
          <c:spPr>
            <a:solidFill>
              <a:schemeClr val="accent6">
                <a:lumMod val="40000"/>
                <a:lumOff val="60000"/>
              </a:schemeClr>
            </a:solidFill>
            <a:ln>
              <a:solidFill>
                <a:schemeClr val="accent6">
                  <a:lumMod val="60000"/>
                  <a:lumOff val="40000"/>
                </a:schemeClr>
              </a:solidFill>
            </a:ln>
            <a:effectLst/>
          </c:spPr>
          <c:invertIfNegative val="0"/>
          <c:cat>
            <c:strRef>
              <c:f>RESULTS!$N$99:$P$99</c:f>
              <c:strCache>
                <c:ptCount val="3"/>
                <c:pt idx="0">
                  <c:v>Nearshore 
(Mass. State Waters)</c:v>
                </c:pt>
                <c:pt idx="1">
                  <c:v>Far Offshore
 (Mass. Federal Waters)</c:v>
                </c:pt>
                <c:pt idx="2">
                  <c:v>High Latitude
 (Alaska State Waters)</c:v>
                </c:pt>
              </c:strCache>
            </c:strRef>
          </c:cat>
          <c:val>
            <c:numRef>
              <c:f>RESULTS!$N$102:$P$102</c:f>
              <c:numCache>
                <c:formatCode>0%</c:formatCode>
                <c:ptCount val="3"/>
                <c:pt idx="0">
                  <c:v>1.1713706666666666</c:v>
                </c:pt>
                <c:pt idx="1">
                  <c:v>1.1979575308641974</c:v>
                </c:pt>
                <c:pt idx="2">
                  <c:v>1.0617777777777777</c:v>
                </c:pt>
              </c:numCache>
            </c:numRef>
          </c:val>
          <c:extLst>
            <c:ext xmlns:c16="http://schemas.microsoft.com/office/drawing/2014/chart" uri="{C3380CC4-5D6E-409C-BE32-E72D297353CC}">
              <c16:uniqueId val="{00000002-CF2F-8D47-8CE0-E23A813893D2}"/>
            </c:ext>
          </c:extLst>
        </c:ser>
        <c:ser>
          <c:idx val="3"/>
          <c:order val="3"/>
          <c:tx>
            <c:strRef>
              <c:f>RESULTS!$M$103</c:f>
              <c:strCache>
                <c:ptCount val="1"/>
                <c:pt idx="0">
                  <c:v>Solar Buoy + 
Remote Monitoring</c:v>
                </c:pt>
              </c:strCache>
            </c:strRef>
          </c:tx>
          <c:spPr>
            <a:solidFill>
              <a:schemeClr val="accent6"/>
            </a:solidFill>
            <a:ln>
              <a:solidFill>
                <a:schemeClr val="accent6">
                  <a:lumMod val="60000"/>
                  <a:lumOff val="40000"/>
                </a:schemeClr>
              </a:solidFill>
            </a:ln>
            <a:effectLst/>
          </c:spPr>
          <c:invertIfNegative val="0"/>
          <c:cat>
            <c:strRef>
              <c:f>RESULTS!$N$99:$P$99</c:f>
              <c:strCache>
                <c:ptCount val="3"/>
                <c:pt idx="0">
                  <c:v>Nearshore 
(Mass. State Waters)</c:v>
                </c:pt>
                <c:pt idx="1">
                  <c:v>Far Offshore
 (Mass. Federal Waters)</c:v>
                </c:pt>
                <c:pt idx="2">
                  <c:v>High Latitude
 (Alaska State Waters)</c:v>
                </c:pt>
              </c:strCache>
            </c:strRef>
          </c:cat>
          <c:val>
            <c:numRef>
              <c:f>RESULTS!$N$103:$P$103</c:f>
              <c:numCache>
                <c:formatCode>0%</c:formatCode>
                <c:ptCount val="3"/>
                <c:pt idx="0">
                  <c:v>1.0981599999999998</c:v>
                </c:pt>
                <c:pt idx="1">
                  <c:v>1.1230851851851851</c:v>
                </c:pt>
                <c:pt idx="2">
                  <c:v>0.99541666666666662</c:v>
                </c:pt>
              </c:numCache>
            </c:numRef>
          </c:val>
          <c:extLst>
            <c:ext xmlns:c16="http://schemas.microsoft.com/office/drawing/2014/chart" uri="{C3380CC4-5D6E-409C-BE32-E72D297353CC}">
              <c16:uniqueId val="{00000003-CF2F-8D47-8CE0-E23A813893D2}"/>
            </c:ext>
          </c:extLst>
        </c:ser>
        <c:ser>
          <c:idx val="4"/>
          <c:order val="4"/>
          <c:tx>
            <c:strRef>
              <c:f>RESULTS!$M$104</c:f>
              <c:strCache>
                <c:ptCount val="1"/>
                <c:pt idx="0">
                  <c:v>Batteries + 
AUV</c:v>
                </c:pt>
              </c:strCache>
            </c:strRef>
          </c:tx>
          <c:spPr>
            <a:solidFill>
              <a:schemeClr val="accent4">
                <a:lumMod val="20000"/>
                <a:lumOff val="80000"/>
              </a:schemeClr>
            </a:solidFill>
            <a:ln>
              <a:solidFill>
                <a:schemeClr val="accent4">
                  <a:lumMod val="60000"/>
                  <a:lumOff val="40000"/>
                </a:schemeClr>
              </a:solidFill>
            </a:ln>
            <a:effectLst/>
          </c:spPr>
          <c:invertIfNegative val="0"/>
          <c:cat>
            <c:strRef>
              <c:f>RESULTS!$N$99:$P$99</c:f>
              <c:strCache>
                <c:ptCount val="3"/>
                <c:pt idx="0">
                  <c:v>Nearshore 
(Mass. State Waters)</c:v>
                </c:pt>
                <c:pt idx="1">
                  <c:v>Far Offshore
 (Mass. Federal Waters)</c:v>
                </c:pt>
                <c:pt idx="2">
                  <c:v>High Latitude
 (Alaska State Waters)</c:v>
                </c:pt>
              </c:strCache>
            </c:strRef>
          </c:cat>
          <c:val>
            <c:numRef>
              <c:f>RESULTS!$N$104:$P$104</c:f>
              <c:numCache>
                <c:formatCode>0%</c:formatCode>
                <c:ptCount val="3"/>
                <c:pt idx="0">
                  <c:v>1.024</c:v>
                </c:pt>
                <c:pt idx="1">
                  <c:v>1.024</c:v>
                </c:pt>
                <c:pt idx="2">
                  <c:v>1.024</c:v>
                </c:pt>
              </c:numCache>
            </c:numRef>
          </c:val>
          <c:extLst>
            <c:ext xmlns:c16="http://schemas.microsoft.com/office/drawing/2014/chart" uri="{C3380CC4-5D6E-409C-BE32-E72D297353CC}">
              <c16:uniqueId val="{00000004-CF2F-8D47-8CE0-E23A813893D2}"/>
            </c:ext>
          </c:extLst>
        </c:ser>
        <c:ser>
          <c:idx val="5"/>
          <c:order val="5"/>
          <c:tx>
            <c:strRef>
              <c:f>RESULTS!$M$105</c:f>
              <c:strCache>
                <c:ptCount val="1"/>
                <c:pt idx="0">
                  <c:v>Batteries + 
Remote Monitoring</c:v>
                </c:pt>
              </c:strCache>
            </c:strRef>
          </c:tx>
          <c:spPr>
            <a:solidFill>
              <a:schemeClr val="accent4"/>
            </a:solidFill>
            <a:ln>
              <a:solidFill>
                <a:schemeClr val="accent4">
                  <a:lumMod val="75000"/>
                </a:schemeClr>
              </a:solidFill>
            </a:ln>
            <a:effectLst/>
          </c:spPr>
          <c:invertIfNegative val="0"/>
          <c:cat>
            <c:strRef>
              <c:f>RESULTS!$N$99:$P$99</c:f>
              <c:strCache>
                <c:ptCount val="3"/>
                <c:pt idx="0">
                  <c:v>Nearshore 
(Mass. State Waters)</c:v>
                </c:pt>
                <c:pt idx="1">
                  <c:v>Far Offshore
 (Mass. Federal Waters)</c:v>
                </c:pt>
                <c:pt idx="2">
                  <c:v>High Latitude
 (Alaska State Waters)</c:v>
                </c:pt>
              </c:strCache>
            </c:strRef>
          </c:cat>
          <c:val>
            <c:numRef>
              <c:f>RESULTS!$N$105:$P$105</c:f>
              <c:numCache>
                <c:formatCode>0%</c:formatCode>
                <c:ptCount val="3"/>
                <c:pt idx="0">
                  <c:v>1.0666666666666667</c:v>
                </c:pt>
                <c:pt idx="1">
                  <c:v>1.0666666666666667</c:v>
                </c:pt>
                <c:pt idx="2">
                  <c:v>1.0666666666666667</c:v>
                </c:pt>
              </c:numCache>
            </c:numRef>
          </c:val>
          <c:extLst>
            <c:ext xmlns:c16="http://schemas.microsoft.com/office/drawing/2014/chart" uri="{C3380CC4-5D6E-409C-BE32-E72D297353CC}">
              <c16:uniqueId val="{00000005-CF2F-8D47-8CE0-E23A813893D2}"/>
            </c:ext>
          </c:extLst>
        </c:ser>
        <c:dLbls>
          <c:showLegendKey val="0"/>
          <c:showVal val="0"/>
          <c:showCatName val="0"/>
          <c:showSerName val="0"/>
          <c:showPercent val="0"/>
          <c:showBubbleSize val="0"/>
        </c:dLbls>
        <c:gapWidth val="219"/>
        <c:overlap val="-27"/>
        <c:axId val="1517356192"/>
        <c:axId val="335293760"/>
      </c:barChart>
      <c:catAx>
        <c:axId val="151735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35293760"/>
        <c:crosses val="autoZero"/>
        <c:auto val="1"/>
        <c:lblAlgn val="ctr"/>
        <c:lblOffset val="100"/>
        <c:noMultiLvlLbl val="0"/>
      </c:catAx>
      <c:valAx>
        <c:axId val="335293760"/>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517356192"/>
        <c:crosses val="autoZero"/>
        <c:crossBetween val="between"/>
      </c:valAx>
      <c:spPr>
        <a:noFill/>
        <a:ln>
          <a:noFill/>
        </a:ln>
        <a:effectLst/>
      </c:spPr>
    </c:plotArea>
    <c:legend>
      <c:legendPos val="r"/>
      <c:layout>
        <c:manualLayout>
          <c:xMode val="edge"/>
          <c:yMode val="edge"/>
          <c:x val="0.86289860208262215"/>
          <c:y val="0.19751615008408421"/>
          <c:w val="0.1318532491657011"/>
          <c:h val="0.705727587765298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6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a:t>Total CapEx, Install, and O&amp;M (3 years) Costs </a:t>
            </a:r>
            <a:r>
              <a:rPr lang="en-US" sz="1600" baseline="0"/>
              <a:t>(</a:t>
            </a:r>
            <a:r>
              <a:rPr lang="en-US" sz="1600" i="1" baseline="0"/>
              <a:t>Single Device</a:t>
            </a:r>
            <a:r>
              <a:rPr lang="en-US" sz="1600" baseline="0"/>
              <a:t>)</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RESULTS!$N$48</c:f>
              <c:strCache>
                <c:ptCount val="1"/>
                <c:pt idx="0">
                  <c:v>Nearshore 
(Mass. State Waters)</c:v>
                </c:pt>
              </c:strCache>
            </c:strRef>
          </c:tx>
          <c:spPr>
            <a:solidFill>
              <a:schemeClr val="accent5">
                <a:lumMod val="60000"/>
                <a:lumOff val="40000"/>
              </a:schemeClr>
            </a:solidFill>
            <a:ln>
              <a:solidFill>
                <a:schemeClr val="accent5"/>
              </a:solidFill>
            </a:ln>
            <a:effectLst/>
          </c:spPr>
          <c:invertIfNegative val="0"/>
          <c:cat>
            <c:strRef>
              <c:f>RESULTS!$M$49:$M$54</c:f>
              <c:strCache>
                <c:ptCount val="6"/>
                <c:pt idx="0">
                  <c:v>MADWEC + 
AUV</c:v>
                </c:pt>
                <c:pt idx="1">
                  <c:v>MADWEC + 
Remote Monitoring</c:v>
                </c:pt>
                <c:pt idx="2">
                  <c:v>Solar Buoy + 
AUV</c:v>
                </c:pt>
                <c:pt idx="3">
                  <c:v>Solar Buoy + 
Remote Monitoring</c:v>
                </c:pt>
                <c:pt idx="4">
                  <c:v>Batteries + 
AUV</c:v>
                </c:pt>
                <c:pt idx="5">
                  <c:v>Batteries + 
Remote Monitoring</c:v>
                </c:pt>
              </c:strCache>
            </c:strRef>
          </c:cat>
          <c:val>
            <c:numRef>
              <c:f>RESULTS!$N$49:$N$54</c:f>
              <c:numCache>
                <c:formatCode>"$"#,##0</c:formatCode>
                <c:ptCount val="6"/>
                <c:pt idx="0">
                  <c:v>4517462.2443333333</c:v>
                </c:pt>
                <c:pt idx="1">
                  <c:v>3714618.2443333329</c:v>
                </c:pt>
                <c:pt idx="2">
                  <c:v>4585754.1123333331</c:v>
                </c:pt>
                <c:pt idx="3">
                  <c:v>3782910.1123333336</c:v>
                </c:pt>
                <c:pt idx="4">
                  <c:v>4651801.2853333335</c:v>
                </c:pt>
                <c:pt idx="5">
                  <c:v>3848957.2853333331</c:v>
                </c:pt>
              </c:numCache>
            </c:numRef>
          </c:val>
          <c:extLst>
            <c:ext xmlns:c16="http://schemas.microsoft.com/office/drawing/2014/chart" uri="{C3380CC4-5D6E-409C-BE32-E72D297353CC}">
              <c16:uniqueId val="{00000000-BB65-6342-A783-5B4C6BC8B6AF}"/>
            </c:ext>
          </c:extLst>
        </c:ser>
        <c:ser>
          <c:idx val="1"/>
          <c:order val="1"/>
          <c:tx>
            <c:strRef>
              <c:f>RESULTS!$O$48</c:f>
              <c:strCache>
                <c:ptCount val="1"/>
                <c:pt idx="0">
                  <c:v>Far Offshore
 (Mass. Federal Waters)</c:v>
                </c:pt>
              </c:strCache>
            </c:strRef>
          </c:tx>
          <c:spPr>
            <a:solidFill>
              <a:schemeClr val="accent6">
                <a:lumMod val="60000"/>
                <a:lumOff val="40000"/>
              </a:schemeClr>
            </a:solidFill>
            <a:ln>
              <a:solidFill>
                <a:schemeClr val="accent6"/>
              </a:solidFill>
            </a:ln>
            <a:effectLst/>
          </c:spPr>
          <c:invertIfNegative val="0"/>
          <c:cat>
            <c:strRef>
              <c:f>RESULTS!$M$49:$M$54</c:f>
              <c:strCache>
                <c:ptCount val="6"/>
                <c:pt idx="0">
                  <c:v>MADWEC + 
AUV</c:v>
                </c:pt>
                <c:pt idx="1">
                  <c:v>MADWEC + 
Remote Monitoring</c:v>
                </c:pt>
                <c:pt idx="2">
                  <c:v>Solar Buoy + 
AUV</c:v>
                </c:pt>
                <c:pt idx="3">
                  <c:v>Solar Buoy + 
Remote Monitoring</c:v>
                </c:pt>
                <c:pt idx="4">
                  <c:v>Batteries + 
AUV</c:v>
                </c:pt>
                <c:pt idx="5">
                  <c:v>Batteries + 
Remote Monitoring</c:v>
                </c:pt>
              </c:strCache>
            </c:strRef>
          </c:cat>
          <c:val>
            <c:numRef>
              <c:f>RESULTS!$O$49:$O$54</c:f>
              <c:numCache>
                <c:formatCode>"$"#,##0</c:formatCode>
                <c:ptCount val="6"/>
                <c:pt idx="0">
                  <c:v>4693390.094333333</c:v>
                </c:pt>
                <c:pt idx="1">
                  <c:v>3890546.094333333</c:v>
                </c:pt>
                <c:pt idx="2">
                  <c:v>4767480.9623333327</c:v>
                </c:pt>
                <c:pt idx="3">
                  <c:v>3964636.9623333337</c:v>
                </c:pt>
                <c:pt idx="4">
                  <c:v>4912654.5033333329</c:v>
                </c:pt>
                <c:pt idx="5">
                  <c:v>4109810.5033333329</c:v>
                </c:pt>
              </c:numCache>
            </c:numRef>
          </c:val>
          <c:extLst>
            <c:ext xmlns:c16="http://schemas.microsoft.com/office/drawing/2014/chart" uri="{C3380CC4-5D6E-409C-BE32-E72D297353CC}">
              <c16:uniqueId val="{00000001-BB65-6342-A783-5B4C6BC8B6AF}"/>
            </c:ext>
          </c:extLst>
        </c:ser>
        <c:ser>
          <c:idx val="2"/>
          <c:order val="2"/>
          <c:tx>
            <c:strRef>
              <c:f>RESULTS!$P$48</c:f>
              <c:strCache>
                <c:ptCount val="1"/>
                <c:pt idx="0">
                  <c:v>High Latitude
 (Alaska State Waters)</c:v>
                </c:pt>
              </c:strCache>
            </c:strRef>
          </c:tx>
          <c:spPr>
            <a:solidFill>
              <a:schemeClr val="accent4">
                <a:lumMod val="60000"/>
                <a:lumOff val="40000"/>
              </a:schemeClr>
            </a:solidFill>
            <a:ln>
              <a:solidFill>
                <a:schemeClr val="accent4"/>
              </a:solidFill>
            </a:ln>
            <a:effectLst/>
          </c:spPr>
          <c:invertIfNegative val="0"/>
          <c:cat>
            <c:strRef>
              <c:f>RESULTS!$M$49:$M$54</c:f>
              <c:strCache>
                <c:ptCount val="6"/>
                <c:pt idx="0">
                  <c:v>MADWEC + 
AUV</c:v>
                </c:pt>
                <c:pt idx="1">
                  <c:v>MADWEC + 
Remote Monitoring</c:v>
                </c:pt>
                <c:pt idx="2">
                  <c:v>Solar Buoy + 
AUV</c:v>
                </c:pt>
                <c:pt idx="3">
                  <c:v>Solar Buoy + 
Remote Monitoring</c:v>
                </c:pt>
                <c:pt idx="4">
                  <c:v>Batteries + 
AUV</c:v>
                </c:pt>
                <c:pt idx="5">
                  <c:v>Batteries + 
Remote Monitoring</c:v>
                </c:pt>
              </c:strCache>
            </c:strRef>
          </c:cat>
          <c:val>
            <c:numRef>
              <c:f>RESULTS!$P$49:$P$54</c:f>
              <c:numCache>
                <c:formatCode>"$"#,##0</c:formatCode>
                <c:ptCount val="6"/>
                <c:pt idx="0">
                  <c:v>4632176.4292111108</c:v>
                </c:pt>
                <c:pt idx="1">
                  <c:v>3829332.4292111108</c:v>
                </c:pt>
                <c:pt idx="2">
                  <c:v>4701742.880877777</c:v>
                </c:pt>
                <c:pt idx="3">
                  <c:v>3898898.8808777779</c:v>
                </c:pt>
                <c:pt idx="4">
                  <c:v>4834717.2836444443</c:v>
                </c:pt>
                <c:pt idx="5">
                  <c:v>4031873.2836444443</c:v>
                </c:pt>
              </c:numCache>
            </c:numRef>
          </c:val>
          <c:extLst>
            <c:ext xmlns:c16="http://schemas.microsoft.com/office/drawing/2014/chart" uri="{C3380CC4-5D6E-409C-BE32-E72D297353CC}">
              <c16:uniqueId val="{00000002-BB65-6342-A783-5B4C6BC8B6AF}"/>
            </c:ext>
          </c:extLst>
        </c:ser>
        <c:dLbls>
          <c:showLegendKey val="0"/>
          <c:showVal val="0"/>
          <c:showCatName val="0"/>
          <c:showSerName val="0"/>
          <c:showPercent val="0"/>
          <c:showBubbleSize val="0"/>
        </c:dLbls>
        <c:gapWidth val="219"/>
        <c:overlap val="-27"/>
        <c:axId val="1498715072"/>
        <c:axId val="1498755664"/>
      </c:barChart>
      <c:catAx>
        <c:axId val="149871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498755664"/>
        <c:crosses val="autoZero"/>
        <c:auto val="1"/>
        <c:lblAlgn val="ctr"/>
        <c:lblOffset val="100"/>
        <c:noMultiLvlLbl val="0"/>
      </c:catAx>
      <c:valAx>
        <c:axId val="1498755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498715072"/>
        <c:crosses val="autoZero"/>
        <c:crossBetween val="between"/>
        <c:majorUnit val="1000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200" b="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MADWEC Cost Breakdown (Nearshore)</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1"/>
          <c:order val="0"/>
          <c:tx>
            <c:strRef>
              <c:f>RESULTS!$P$162</c:f>
              <c:strCache>
                <c:ptCount val="1"/>
                <c:pt idx="0">
                  <c:v>Nearshore 
(Mass. State Waters)</c:v>
                </c:pt>
              </c:strCache>
            </c:strRef>
          </c:tx>
          <c:dPt>
            <c:idx val="0"/>
            <c:bubble3D val="0"/>
            <c:spPr>
              <a:solidFill>
                <a:schemeClr val="accent5"/>
              </a:solidFill>
            </c:spPr>
            <c:extLst>
              <c:ext xmlns:c16="http://schemas.microsoft.com/office/drawing/2014/chart" uri="{C3380CC4-5D6E-409C-BE32-E72D297353CC}">
                <c16:uniqueId val="{0000000F-C866-F74B-A8D8-93375769875F}"/>
              </c:ext>
            </c:extLst>
          </c:dPt>
          <c:dPt>
            <c:idx val="1"/>
            <c:bubble3D val="0"/>
            <c:spPr>
              <a:solidFill>
                <a:schemeClr val="accent4"/>
              </a:solidFill>
            </c:spPr>
            <c:extLst>
              <c:ext xmlns:c16="http://schemas.microsoft.com/office/drawing/2014/chart" uri="{C3380CC4-5D6E-409C-BE32-E72D297353CC}">
                <c16:uniqueId val="{0000000D-C866-F74B-A8D8-93375769875F}"/>
              </c:ext>
            </c:extLst>
          </c:dPt>
          <c:dPt>
            <c:idx val="2"/>
            <c:bubble3D val="0"/>
            <c:spPr>
              <a:solidFill>
                <a:schemeClr val="accent6">
                  <a:lumMod val="60000"/>
                  <a:lumOff val="40000"/>
                </a:schemeClr>
              </a:solidFill>
            </c:spPr>
            <c:extLst>
              <c:ext xmlns:c16="http://schemas.microsoft.com/office/drawing/2014/chart" uri="{C3380CC4-5D6E-409C-BE32-E72D297353CC}">
                <c16:uniqueId val="{0000000E-C866-F74B-A8D8-93375769875F}"/>
              </c:ext>
            </c:extLst>
          </c:dPt>
          <c:dLbls>
            <c:dLbl>
              <c:idx val="0"/>
              <c:layout>
                <c:manualLayout>
                  <c:x val="0.15344182203908449"/>
                  <c:y val="-5.9817433950169252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866-F74B-A8D8-93375769875F}"/>
                </c:ext>
              </c:extLst>
            </c:dLbl>
            <c:dLbl>
              <c:idx val="1"/>
              <c:layout>
                <c:manualLayout>
                  <c:x val="-2.6222206356329811E-2"/>
                  <c:y val="9.0123976521061105E-3"/>
                </c:manualLayout>
              </c:layout>
              <c:spPr>
                <a:noFill/>
                <a:ln>
                  <a:noFill/>
                </a:ln>
                <a:effectLst/>
              </c:spPr>
              <c:txPr>
                <a:bodyPr wrap="square" lIns="38100" tIns="19050" rIns="38100" bIns="19050" anchor="ctr">
                  <a:spAutoFit/>
                </a:bodyPr>
                <a:lstStyle/>
                <a:p>
                  <a:pPr>
                    <a:defRPr>
                      <a:solidFill>
                        <a:schemeClr val="accent4"/>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866-F74B-A8D8-93375769875F}"/>
                </c:ext>
              </c:extLst>
            </c:dLbl>
            <c:dLbl>
              <c:idx val="2"/>
              <c:layout>
                <c:manualLayout>
                  <c:x val="3.6451695157276323E-2"/>
                  <c:y val="4.4519220354948012E-3"/>
                </c:manualLayout>
              </c:layout>
              <c:spPr>
                <a:noFill/>
                <a:ln>
                  <a:noFill/>
                </a:ln>
                <a:effectLst/>
              </c:spPr>
              <c:txPr>
                <a:bodyPr wrap="square" lIns="38100" tIns="19050" rIns="38100" bIns="19050" anchor="ctr">
                  <a:spAutoFit/>
                </a:bodyPr>
                <a:lstStyle/>
                <a:p>
                  <a:pPr>
                    <a:defRPr>
                      <a:solidFill>
                        <a:schemeClr val="accent6"/>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C866-F74B-A8D8-93375769875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RESULTS!$O$163:$O$165</c:f>
              <c:strCache>
                <c:ptCount val="3"/>
                <c:pt idx="0">
                  <c:v>CapEx</c:v>
                </c:pt>
                <c:pt idx="1">
                  <c:v>Installation</c:v>
                </c:pt>
                <c:pt idx="2">
                  <c:v>O&amp;M (1 yr)</c:v>
                </c:pt>
              </c:strCache>
            </c:strRef>
          </c:cat>
          <c:val>
            <c:numRef>
              <c:f>RESULTS!$P$163:$P$165</c:f>
              <c:numCache>
                <c:formatCode>"$"#,##0</c:formatCode>
                <c:ptCount val="3"/>
                <c:pt idx="0">
                  <c:v>2920054.61</c:v>
                </c:pt>
                <c:pt idx="1">
                  <c:v>20670.274333333335</c:v>
                </c:pt>
                <c:pt idx="2">
                  <c:v>102926.12</c:v>
                </c:pt>
              </c:numCache>
            </c:numRef>
          </c:val>
          <c:extLst>
            <c:ext xmlns:c16="http://schemas.microsoft.com/office/drawing/2014/chart" uri="{C3380CC4-5D6E-409C-BE32-E72D297353CC}">
              <c16:uniqueId val="{0000000C-C866-F74B-A8D8-93375769875F}"/>
            </c:ext>
          </c:extLst>
        </c:ser>
        <c:ser>
          <c:idx val="0"/>
          <c:order val="1"/>
          <c:tx>
            <c:strRef>
              <c:f>RESULTS!$P$162</c:f>
              <c:strCache>
                <c:ptCount val="1"/>
                <c:pt idx="0">
                  <c:v>Nearshore 
(Mass. State Waters)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6-C866-F74B-A8D8-93375769875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C866-F74B-A8D8-93375769875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A-C866-F74B-A8D8-93375769875F}"/>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1"/>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6-C866-F74B-A8D8-93375769875F}"/>
                </c:ext>
              </c:extLst>
            </c:dLbl>
            <c:dLbl>
              <c:idx val="1"/>
              <c:layout>
                <c:manualLayout>
                  <c:x val="-2.5906735751295335E-2"/>
                  <c:y val="-2.5684928043775207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2"/>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866-F74B-A8D8-93375769875F}"/>
                </c:ext>
              </c:extLst>
            </c:dLbl>
            <c:dLbl>
              <c:idx val="2"/>
              <c:layout>
                <c:manualLayout>
                  <c:x val="2.3316062176165803E-2"/>
                  <c:y val="-2.5684928043775207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lumMod val="50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866-F74B-A8D8-93375769875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RESULTS!$O$163:$O$165</c:f>
              <c:strCache>
                <c:ptCount val="3"/>
                <c:pt idx="0">
                  <c:v>CapEx</c:v>
                </c:pt>
                <c:pt idx="1">
                  <c:v>Installation</c:v>
                </c:pt>
                <c:pt idx="2">
                  <c:v>O&amp;M (1 yr)</c:v>
                </c:pt>
              </c:strCache>
            </c:strRef>
          </c:cat>
          <c:val>
            <c:numRef>
              <c:f>RESULTS!$P$163:$P$165</c:f>
              <c:numCache>
                <c:formatCode>"$"#,##0</c:formatCode>
                <c:ptCount val="3"/>
                <c:pt idx="0">
                  <c:v>2920054.61</c:v>
                </c:pt>
                <c:pt idx="1">
                  <c:v>20670.274333333335</c:v>
                </c:pt>
                <c:pt idx="2">
                  <c:v>102926.12</c:v>
                </c:pt>
              </c:numCache>
            </c:numRef>
          </c:val>
          <c:extLst>
            <c:ext xmlns:c16="http://schemas.microsoft.com/office/drawing/2014/chart" uri="{C3380CC4-5D6E-409C-BE32-E72D297353CC}">
              <c16:uniqueId val="{0000000B-C866-F74B-A8D8-93375769875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422993757904615"/>
          <c:y val="0.45259691851877348"/>
          <c:w val="0.25032944392313655"/>
          <c:h val="0.2307811484616741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MADWEC Cost Breakdown (Offshore)</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1"/>
          <c:order val="0"/>
          <c:tx>
            <c:strRef>
              <c:f>RESULTS!$Q$162</c:f>
              <c:strCache>
                <c:ptCount val="1"/>
                <c:pt idx="0">
                  <c:v>Far Offshore
 (Mass. Federal Waters)</c:v>
                </c:pt>
              </c:strCache>
            </c:strRef>
          </c:tx>
          <c:dPt>
            <c:idx val="0"/>
            <c:bubble3D val="0"/>
            <c:spPr>
              <a:solidFill>
                <a:schemeClr val="accent5"/>
              </a:solidFill>
            </c:spPr>
            <c:extLst>
              <c:ext xmlns:c16="http://schemas.microsoft.com/office/drawing/2014/chart" uri="{C3380CC4-5D6E-409C-BE32-E72D297353CC}">
                <c16:uniqueId val="{00000009-2913-5445-982C-A50334969D88}"/>
              </c:ext>
            </c:extLst>
          </c:dPt>
          <c:dPt>
            <c:idx val="1"/>
            <c:bubble3D val="0"/>
            <c:spPr>
              <a:solidFill>
                <a:schemeClr val="accent4"/>
              </a:solidFill>
            </c:spPr>
            <c:extLst>
              <c:ext xmlns:c16="http://schemas.microsoft.com/office/drawing/2014/chart" uri="{C3380CC4-5D6E-409C-BE32-E72D297353CC}">
                <c16:uniqueId val="{0000000A-2913-5445-982C-A50334969D88}"/>
              </c:ext>
            </c:extLst>
          </c:dPt>
          <c:dPt>
            <c:idx val="2"/>
            <c:bubble3D val="0"/>
            <c:spPr>
              <a:solidFill>
                <a:schemeClr val="accent6">
                  <a:lumMod val="60000"/>
                  <a:lumOff val="40000"/>
                </a:schemeClr>
              </a:solidFill>
            </c:spPr>
            <c:extLst>
              <c:ext xmlns:c16="http://schemas.microsoft.com/office/drawing/2014/chart" uri="{C3380CC4-5D6E-409C-BE32-E72D297353CC}">
                <c16:uniqueId val="{00000008-2913-5445-982C-A50334969D88}"/>
              </c:ext>
            </c:extLst>
          </c:dPt>
          <c:dLbls>
            <c:dLbl>
              <c:idx val="0"/>
              <c:layout>
                <c:manualLayout>
                  <c:x val="0.1771626004650973"/>
                  <c:y val="-6.4876569922473634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913-5445-982C-A50334969D88}"/>
                </c:ext>
              </c:extLst>
            </c:dLbl>
            <c:dLbl>
              <c:idx val="1"/>
              <c:layout>
                <c:manualLayout>
                  <c:x val="-4.4719717677777562E-3"/>
                  <c:y val="1.004990524228032E-2"/>
                </c:manualLayout>
              </c:layout>
              <c:spPr>
                <a:noFill/>
                <a:ln>
                  <a:noFill/>
                </a:ln>
                <a:effectLst/>
              </c:spPr>
              <c:txPr>
                <a:bodyPr wrap="square" lIns="38100" tIns="19050" rIns="38100" bIns="19050" anchor="ctr">
                  <a:spAutoFit/>
                </a:bodyPr>
                <a:lstStyle/>
                <a:p>
                  <a:pPr>
                    <a:defRPr>
                      <a:solidFill>
                        <a:schemeClr val="accent4"/>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913-5445-982C-A50334969D88}"/>
                </c:ext>
              </c:extLst>
            </c:dLbl>
            <c:dLbl>
              <c:idx val="2"/>
              <c:layout>
                <c:manualLayout>
                  <c:x val="7.6420382685324903E-2"/>
                  <c:y val="4.0980814686049812E-3"/>
                </c:manualLayout>
              </c:layout>
              <c:spPr>
                <a:noFill/>
                <a:ln>
                  <a:noFill/>
                </a:ln>
                <a:effectLst/>
              </c:spPr>
              <c:txPr>
                <a:bodyPr wrap="square" lIns="38100" tIns="19050" rIns="38100" bIns="19050" anchor="ctr">
                  <a:spAutoFit/>
                </a:bodyPr>
                <a:lstStyle/>
                <a:p>
                  <a:pPr>
                    <a:defRPr>
                      <a:solidFill>
                        <a:schemeClr val="accent6"/>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913-5445-982C-A50334969D8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RESULTS!$O$163:$O$165</c:f>
              <c:strCache>
                <c:ptCount val="3"/>
                <c:pt idx="0">
                  <c:v>CapEx</c:v>
                </c:pt>
                <c:pt idx="1">
                  <c:v>Installation</c:v>
                </c:pt>
                <c:pt idx="2">
                  <c:v>O&amp;M (1 yr)</c:v>
                </c:pt>
              </c:strCache>
            </c:strRef>
          </c:cat>
          <c:val>
            <c:numRef>
              <c:f>RESULTS!$Q$163:$Q$165</c:f>
              <c:numCache>
                <c:formatCode>"$"#,##0</c:formatCode>
                <c:ptCount val="3"/>
                <c:pt idx="0">
                  <c:v>2920054.61</c:v>
                </c:pt>
                <c:pt idx="1">
                  <c:v>26747.388333333332</c:v>
                </c:pt>
                <c:pt idx="2">
                  <c:v>159543.03200000001</c:v>
                </c:pt>
              </c:numCache>
            </c:numRef>
          </c:val>
          <c:extLst>
            <c:ext xmlns:c16="http://schemas.microsoft.com/office/drawing/2014/chart" uri="{C3380CC4-5D6E-409C-BE32-E72D297353CC}">
              <c16:uniqueId val="{00000000-2913-5445-982C-A50334969D8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2604340908163689"/>
          <c:y val="0.45570891369475719"/>
          <c:w val="0.25032944392313655"/>
          <c:h val="0.2307811484616741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MADWEC Cost Breakdown (High</a:t>
            </a:r>
            <a:r>
              <a:rPr lang="en-US" sz="1600" b="1" baseline="0"/>
              <a:t> Latitude</a:t>
            </a:r>
            <a:r>
              <a:rPr lang="en-US" sz="1600" b="1"/>
              <a:t>)</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0"/>
          <c:order val="0"/>
          <c:tx>
            <c:strRef>
              <c:f>RESULTS!$R$162</c:f>
              <c:strCache>
                <c:ptCount val="1"/>
                <c:pt idx="0">
                  <c:v>High Latitude
 (Alaska State Waters)</c:v>
                </c:pt>
              </c:strCache>
            </c:strRef>
          </c:tx>
          <c:dPt>
            <c:idx val="0"/>
            <c:bubble3D val="0"/>
            <c:spPr>
              <a:solidFill>
                <a:schemeClr val="accent5"/>
              </a:solidFill>
            </c:spPr>
            <c:extLst>
              <c:ext xmlns:c16="http://schemas.microsoft.com/office/drawing/2014/chart" uri="{C3380CC4-5D6E-409C-BE32-E72D297353CC}">
                <c16:uniqueId val="{0000000B-F120-5048-8BBB-0B826C5F5346}"/>
              </c:ext>
            </c:extLst>
          </c:dPt>
          <c:dPt>
            <c:idx val="1"/>
            <c:bubble3D val="0"/>
            <c:spPr>
              <a:solidFill>
                <a:schemeClr val="accent4"/>
              </a:solidFill>
            </c:spPr>
            <c:extLst>
              <c:ext xmlns:c16="http://schemas.microsoft.com/office/drawing/2014/chart" uri="{C3380CC4-5D6E-409C-BE32-E72D297353CC}">
                <c16:uniqueId val="{0000000A-F120-5048-8BBB-0B826C5F5346}"/>
              </c:ext>
            </c:extLst>
          </c:dPt>
          <c:dPt>
            <c:idx val="2"/>
            <c:bubble3D val="0"/>
            <c:spPr>
              <a:solidFill>
                <a:schemeClr val="accent6">
                  <a:lumMod val="60000"/>
                  <a:lumOff val="40000"/>
                </a:schemeClr>
              </a:solidFill>
            </c:spPr>
            <c:extLst>
              <c:ext xmlns:c16="http://schemas.microsoft.com/office/drawing/2014/chart" uri="{C3380CC4-5D6E-409C-BE32-E72D297353CC}">
                <c16:uniqueId val="{00000009-F120-5048-8BBB-0B826C5F5346}"/>
              </c:ext>
            </c:extLst>
          </c:dPt>
          <c:dLbls>
            <c:dLbl>
              <c:idx val="0"/>
              <c:layout>
                <c:manualLayout>
                  <c:x val="0.15785331075843498"/>
                  <c:y val="-6.5388707585077338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120-5048-8BBB-0B826C5F5346}"/>
                </c:ext>
              </c:extLst>
            </c:dLbl>
            <c:dLbl>
              <c:idx val="1"/>
              <c:spPr>
                <a:noFill/>
                <a:ln>
                  <a:noFill/>
                </a:ln>
                <a:effectLst/>
              </c:spPr>
              <c:txPr>
                <a:bodyPr wrap="square" lIns="38100" tIns="19050" rIns="38100" bIns="19050" anchor="ctr">
                  <a:spAutoFit/>
                </a:bodyPr>
                <a:lstStyle/>
                <a:p>
                  <a:pPr>
                    <a:defRPr>
                      <a:solidFill>
                        <a:schemeClr val="accent4"/>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A-F120-5048-8BBB-0B826C5F5346}"/>
                </c:ext>
              </c:extLst>
            </c:dLbl>
            <c:dLbl>
              <c:idx val="2"/>
              <c:layout>
                <c:manualLayout>
                  <c:x val="4.4477275508955166E-2"/>
                  <c:y val="-3.9954088941404099E-3"/>
                </c:manualLayout>
              </c:layout>
              <c:spPr>
                <a:noFill/>
                <a:ln>
                  <a:noFill/>
                </a:ln>
                <a:effectLst/>
              </c:spPr>
              <c:txPr>
                <a:bodyPr wrap="square" lIns="38100" tIns="19050" rIns="38100" bIns="19050" anchor="ctr">
                  <a:spAutoFit/>
                </a:bodyPr>
                <a:lstStyle/>
                <a:p>
                  <a:pPr>
                    <a:defRPr>
                      <a:solidFill>
                        <a:schemeClr val="accent6"/>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120-5048-8BBB-0B826C5F534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RESULTS!$O$163:$O$165</c:f>
              <c:strCache>
                <c:ptCount val="3"/>
                <c:pt idx="0">
                  <c:v>CapEx</c:v>
                </c:pt>
                <c:pt idx="1">
                  <c:v>Installation</c:v>
                </c:pt>
                <c:pt idx="2">
                  <c:v>O&amp;M (1 yr)</c:v>
                </c:pt>
              </c:strCache>
            </c:strRef>
          </c:cat>
          <c:val>
            <c:numRef>
              <c:f>RESULTS!$R$163:$R$165</c:f>
              <c:numCache>
                <c:formatCode>"$"#,##0</c:formatCode>
                <c:ptCount val="3"/>
                <c:pt idx="0">
                  <c:v>2920054.61</c:v>
                </c:pt>
                <c:pt idx="1">
                  <c:v>41591.19049999999</c:v>
                </c:pt>
                <c:pt idx="2">
                  <c:v>136696.54957037035</c:v>
                </c:pt>
              </c:numCache>
            </c:numRef>
          </c:val>
          <c:extLst>
            <c:ext xmlns:c16="http://schemas.microsoft.com/office/drawing/2014/chart" uri="{C3380CC4-5D6E-409C-BE32-E72D297353CC}">
              <c16:uniqueId val="{00000008-F120-5048-8BBB-0B826C5F534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1568071478111883"/>
          <c:y val="0.45570891369475719"/>
          <c:w val="0.25032944392313655"/>
          <c:h val="0.2395081652371856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Solar Buoy Cost Breakdown (Nearshore)</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0"/>
          <c:order val="0"/>
          <c:tx>
            <c:strRef>
              <c:f>RESULTS!$P$181</c:f>
              <c:strCache>
                <c:ptCount val="1"/>
                <c:pt idx="0">
                  <c:v>Nearshore 
(Mass. State Waters)</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8-94E1-D843-AD41-75A6D05E9C8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A-94E1-D843-AD41-75A6D05E9C88}"/>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C-94E1-D843-AD41-75A6D05E9C88}"/>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8-94E1-D843-AD41-75A6D05E9C88}"/>
                </c:ext>
              </c:extLst>
            </c:dLbl>
            <c:dLbl>
              <c:idx val="1"/>
              <c:layout>
                <c:manualLayout>
                  <c:x val="-2.5906735751295335E-2"/>
                  <c:y val="-2.5684928043775207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4"/>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4E1-D843-AD41-75A6D05E9C88}"/>
                </c:ext>
              </c:extLst>
            </c:dLbl>
            <c:dLbl>
              <c:idx val="2"/>
              <c:layout>
                <c:manualLayout>
                  <c:x val="2.3316062176165803E-2"/>
                  <c:y val="-2.5684928043775207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4E1-D843-AD41-75A6D05E9C88}"/>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RESULTS!$O$182:$O$184</c:f>
              <c:strCache>
                <c:ptCount val="3"/>
                <c:pt idx="0">
                  <c:v>CapEx</c:v>
                </c:pt>
                <c:pt idx="1">
                  <c:v>Installation</c:v>
                </c:pt>
                <c:pt idx="2">
                  <c:v>O&amp;M (1 yr)</c:v>
                </c:pt>
              </c:strCache>
            </c:strRef>
          </c:cat>
          <c:val>
            <c:numRef>
              <c:f>RESULTS!$P$182:$P$184</c:f>
              <c:numCache>
                <c:formatCode>"$"#,##0</c:formatCode>
                <c:ptCount val="3"/>
                <c:pt idx="0">
                  <c:v>3002729</c:v>
                </c:pt>
                <c:pt idx="1">
                  <c:v>18615.628333333334</c:v>
                </c:pt>
                <c:pt idx="2">
                  <c:v>98816.828000000009</c:v>
                </c:pt>
              </c:numCache>
            </c:numRef>
          </c:val>
          <c:extLst>
            <c:ext xmlns:c16="http://schemas.microsoft.com/office/drawing/2014/chart" uri="{C3380CC4-5D6E-409C-BE32-E72D297353CC}">
              <c16:uniqueId val="{0000000D-94E1-D843-AD41-75A6D05E9C8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422993757904615"/>
          <c:y val="0.45259691851877348"/>
          <c:w val="0.25032944392313655"/>
          <c:h val="0.2307811484616741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Solar Buoy Cost Breakdown (Offshore)</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1"/>
          <c:order val="0"/>
          <c:tx>
            <c:strRef>
              <c:f>RESULTS!$Q$181</c:f>
              <c:strCache>
                <c:ptCount val="1"/>
                <c:pt idx="0">
                  <c:v>Far Offshore
 (Mass. Federal Waters)</c:v>
                </c:pt>
              </c:strCache>
            </c:strRef>
          </c:tx>
          <c:dPt>
            <c:idx val="0"/>
            <c:bubble3D val="0"/>
            <c:spPr>
              <a:solidFill>
                <a:schemeClr val="accent5"/>
              </a:solidFill>
            </c:spPr>
            <c:extLst>
              <c:ext xmlns:c16="http://schemas.microsoft.com/office/drawing/2014/chart" uri="{C3380CC4-5D6E-409C-BE32-E72D297353CC}">
                <c16:uniqueId val="{00000001-37FA-F744-8154-3C4A9BC6F021}"/>
              </c:ext>
            </c:extLst>
          </c:dPt>
          <c:dPt>
            <c:idx val="1"/>
            <c:bubble3D val="0"/>
            <c:spPr>
              <a:solidFill>
                <a:schemeClr val="accent4"/>
              </a:solidFill>
            </c:spPr>
            <c:extLst>
              <c:ext xmlns:c16="http://schemas.microsoft.com/office/drawing/2014/chart" uri="{C3380CC4-5D6E-409C-BE32-E72D297353CC}">
                <c16:uniqueId val="{00000003-37FA-F744-8154-3C4A9BC6F021}"/>
              </c:ext>
            </c:extLst>
          </c:dPt>
          <c:dPt>
            <c:idx val="2"/>
            <c:bubble3D val="0"/>
            <c:spPr>
              <a:solidFill>
                <a:schemeClr val="accent6">
                  <a:lumMod val="60000"/>
                  <a:lumOff val="40000"/>
                </a:schemeClr>
              </a:solidFill>
            </c:spPr>
            <c:extLst>
              <c:ext xmlns:c16="http://schemas.microsoft.com/office/drawing/2014/chart" uri="{C3380CC4-5D6E-409C-BE32-E72D297353CC}">
                <c16:uniqueId val="{00000005-37FA-F744-8154-3C4A9BC6F021}"/>
              </c:ext>
            </c:extLst>
          </c:dPt>
          <c:dLbls>
            <c:dLbl>
              <c:idx val="0"/>
              <c:layout>
                <c:manualLayout>
                  <c:x val="0.1771626004650973"/>
                  <c:y val="-6.4876569922473634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FA-F744-8154-3C4A9BC6F021}"/>
                </c:ext>
              </c:extLst>
            </c:dLbl>
            <c:dLbl>
              <c:idx val="1"/>
              <c:layout>
                <c:manualLayout>
                  <c:x val="-4.4719717677777562E-3"/>
                  <c:y val="1.004990524228032E-2"/>
                </c:manualLayout>
              </c:layout>
              <c:spPr>
                <a:noFill/>
                <a:ln>
                  <a:noFill/>
                </a:ln>
                <a:effectLst/>
              </c:spPr>
              <c:txPr>
                <a:bodyPr wrap="square" lIns="38100" tIns="19050" rIns="38100" bIns="19050" anchor="ctr">
                  <a:spAutoFit/>
                </a:bodyPr>
                <a:lstStyle/>
                <a:p>
                  <a:pPr>
                    <a:defRPr>
                      <a:solidFill>
                        <a:schemeClr val="accent4"/>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FA-F744-8154-3C4A9BC6F021}"/>
                </c:ext>
              </c:extLst>
            </c:dLbl>
            <c:dLbl>
              <c:idx val="2"/>
              <c:layout>
                <c:manualLayout>
                  <c:x val="7.6420382685324903E-2"/>
                  <c:y val="4.0980814686049812E-3"/>
                </c:manualLayout>
              </c:layout>
              <c:spPr>
                <a:noFill/>
                <a:ln>
                  <a:noFill/>
                </a:ln>
                <a:effectLst/>
              </c:spPr>
              <c:txPr>
                <a:bodyPr wrap="square" lIns="38100" tIns="19050" rIns="38100" bIns="19050" anchor="ctr">
                  <a:spAutoFit/>
                </a:bodyPr>
                <a:lstStyle/>
                <a:p>
                  <a:pPr>
                    <a:defRPr>
                      <a:solidFill>
                        <a:schemeClr val="accent6"/>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7FA-F744-8154-3C4A9BC6F0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RESULTS!$O$182:$O$184</c:f>
              <c:strCache>
                <c:ptCount val="3"/>
                <c:pt idx="0">
                  <c:v>CapEx</c:v>
                </c:pt>
                <c:pt idx="1">
                  <c:v>Installation</c:v>
                </c:pt>
                <c:pt idx="2">
                  <c:v>O&amp;M (1 yr)</c:v>
                </c:pt>
              </c:strCache>
            </c:strRef>
          </c:cat>
          <c:val>
            <c:numRef>
              <c:f>RESULTS!$Q$182:$Q$184</c:f>
              <c:numCache>
                <c:formatCode>"$"#,##0</c:formatCode>
                <c:ptCount val="3"/>
                <c:pt idx="0">
                  <c:v>3002729</c:v>
                </c:pt>
                <c:pt idx="1">
                  <c:v>38009.762333333332</c:v>
                </c:pt>
                <c:pt idx="2">
                  <c:v>155433.74</c:v>
                </c:pt>
              </c:numCache>
            </c:numRef>
          </c:val>
          <c:extLst>
            <c:ext xmlns:c16="http://schemas.microsoft.com/office/drawing/2014/chart" uri="{C3380CC4-5D6E-409C-BE32-E72D297353CC}">
              <c16:uniqueId val="{00000006-37FA-F744-8154-3C4A9BC6F02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2604340908163689"/>
          <c:y val="0.45570891369475719"/>
          <c:w val="0.25032944392313655"/>
          <c:h val="0.2307811484616741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Battery Swap Cost Breakdown (Offshore)</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1"/>
          <c:order val="0"/>
          <c:tx>
            <c:strRef>
              <c:f>RESULTS!$Q$203</c:f>
              <c:strCache>
                <c:ptCount val="1"/>
                <c:pt idx="0">
                  <c:v>Far Offshore
 (Mass. Federal Waters)</c:v>
                </c:pt>
              </c:strCache>
            </c:strRef>
          </c:tx>
          <c:dPt>
            <c:idx val="0"/>
            <c:bubble3D val="0"/>
            <c:spPr>
              <a:solidFill>
                <a:schemeClr val="accent5"/>
              </a:solidFill>
            </c:spPr>
            <c:extLst>
              <c:ext xmlns:c16="http://schemas.microsoft.com/office/drawing/2014/chart" uri="{C3380CC4-5D6E-409C-BE32-E72D297353CC}">
                <c16:uniqueId val="{00000001-38F7-8C4F-8791-A8DCFB12236A}"/>
              </c:ext>
            </c:extLst>
          </c:dPt>
          <c:dPt>
            <c:idx val="1"/>
            <c:bubble3D val="0"/>
            <c:spPr>
              <a:solidFill>
                <a:schemeClr val="accent4"/>
              </a:solidFill>
            </c:spPr>
            <c:extLst>
              <c:ext xmlns:c16="http://schemas.microsoft.com/office/drawing/2014/chart" uri="{C3380CC4-5D6E-409C-BE32-E72D297353CC}">
                <c16:uniqueId val="{00000003-38F7-8C4F-8791-A8DCFB12236A}"/>
              </c:ext>
            </c:extLst>
          </c:dPt>
          <c:dPt>
            <c:idx val="2"/>
            <c:bubble3D val="0"/>
            <c:spPr>
              <a:solidFill>
                <a:schemeClr val="accent6">
                  <a:lumMod val="60000"/>
                  <a:lumOff val="40000"/>
                </a:schemeClr>
              </a:solidFill>
            </c:spPr>
            <c:extLst>
              <c:ext xmlns:c16="http://schemas.microsoft.com/office/drawing/2014/chart" uri="{C3380CC4-5D6E-409C-BE32-E72D297353CC}">
                <c16:uniqueId val="{00000005-38F7-8C4F-8791-A8DCFB12236A}"/>
              </c:ext>
            </c:extLst>
          </c:dPt>
          <c:dLbls>
            <c:dLbl>
              <c:idx val="0"/>
              <c:layout>
                <c:manualLayout>
                  <c:x val="0.1771626004650973"/>
                  <c:y val="-6.4876569922473634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8F7-8C4F-8791-A8DCFB12236A}"/>
                </c:ext>
              </c:extLst>
            </c:dLbl>
            <c:dLbl>
              <c:idx val="1"/>
              <c:layout>
                <c:manualLayout>
                  <c:x val="-4.4719717677777562E-3"/>
                  <c:y val="1.004990524228032E-2"/>
                </c:manualLayout>
              </c:layout>
              <c:spPr>
                <a:noFill/>
                <a:ln>
                  <a:noFill/>
                </a:ln>
                <a:effectLst/>
              </c:spPr>
              <c:txPr>
                <a:bodyPr wrap="square" lIns="38100" tIns="19050" rIns="38100" bIns="19050" anchor="ctr">
                  <a:spAutoFit/>
                </a:bodyPr>
                <a:lstStyle/>
                <a:p>
                  <a:pPr>
                    <a:defRPr>
                      <a:solidFill>
                        <a:schemeClr val="accent4"/>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8F7-8C4F-8791-A8DCFB12236A}"/>
                </c:ext>
              </c:extLst>
            </c:dLbl>
            <c:dLbl>
              <c:idx val="2"/>
              <c:layout>
                <c:manualLayout>
                  <c:x val="7.6420382685324903E-2"/>
                  <c:y val="4.0980814686049812E-3"/>
                </c:manualLayout>
              </c:layout>
              <c:spPr>
                <a:noFill/>
                <a:ln>
                  <a:noFill/>
                </a:ln>
                <a:effectLst/>
              </c:spPr>
              <c:txPr>
                <a:bodyPr wrap="square" lIns="38100" tIns="19050" rIns="38100" bIns="19050" anchor="ctr">
                  <a:spAutoFit/>
                </a:bodyPr>
                <a:lstStyle/>
                <a:p>
                  <a:pPr>
                    <a:defRPr>
                      <a:solidFill>
                        <a:schemeClr val="accent6"/>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8F7-8C4F-8791-A8DCFB12236A}"/>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RESULTS!$O$204:$O$206</c:f>
              <c:strCache>
                <c:ptCount val="3"/>
                <c:pt idx="0">
                  <c:v>CapEx</c:v>
                </c:pt>
                <c:pt idx="1">
                  <c:v>Installation</c:v>
                </c:pt>
                <c:pt idx="2">
                  <c:v>O&amp;M (1 yr)</c:v>
                </c:pt>
              </c:strCache>
            </c:strRef>
          </c:cat>
          <c:val>
            <c:numRef>
              <c:f>RESULTS!$Q$204:$Q$206</c:f>
              <c:numCache>
                <c:formatCode>"$"#,##0</c:formatCode>
                <c:ptCount val="3"/>
                <c:pt idx="0">
                  <c:v>2954784</c:v>
                </c:pt>
                <c:pt idx="1">
                  <c:v>19556.12733333333</c:v>
                </c:pt>
                <c:pt idx="2">
                  <c:v>239885.12533333333</c:v>
                </c:pt>
              </c:numCache>
            </c:numRef>
          </c:val>
          <c:extLst>
            <c:ext xmlns:c16="http://schemas.microsoft.com/office/drawing/2014/chart" uri="{C3380CC4-5D6E-409C-BE32-E72D297353CC}">
              <c16:uniqueId val="{00000006-38F7-8C4F-8791-A8DCFB12236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2604340908163689"/>
          <c:y val="0.45570891369475719"/>
          <c:w val="0.25032944392313655"/>
          <c:h val="0.2307811484616741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Solar Buoy Cost Breakdown (High</a:t>
            </a:r>
            <a:r>
              <a:rPr lang="en-US" sz="1600" b="1" baseline="0"/>
              <a:t> Latitude</a:t>
            </a:r>
            <a:r>
              <a:rPr lang="en-US" sz="1600" b="1"/>
              <a:t>)</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0"/>
          <c:order val="0"/>
          <c:tx>
            <c:strRef>
              <c:f>RESULTS!$R$181</c:f>
              <c:strCache>
                <c:ptCount val="1"/>
                <c:pt idx="0">
                  <c:v>High Latitude
 (Alaska State Waters)</c:v>
                </c:pt>
              </c:strCache>
            </c:strRef>
          </c:tx>
          <c:dPt>
            <c:idx val="0"/>
            <c:bubble3D val="0"/>
            <c:spPr>
              <a:solidFill>
                <a:schemeClr val="accent5"/>
              </a:solidFill>
            </c:spPr>
            <c:extLst>
              <c:ext xmlns:c16="http://schemas.microsoft.com/office/drawing/2014/chart" uri="{C3380CC4-5D6E-409C-BE32-E72D297353CC}">
                <c16:uniqueId val="{00000001-C7DB-2E45-90BB-6DC788D4A4C5}"/>
              </c:ext>
            </c:extLst>
          </c:dPt>
          <c:dPt>
            <c:idx val="1"/>
            <c:bubble3D val="0"/>
            <c:spPr>
              <a:solidFill>
                <a:schemeClr val="accent4"/>
              </a:solidFill>
            </c:spPr>
            <c:extLst>
              <c:ext xmlns:c16="http://schemas.microsoft.com/office/drawing/2014/chart" uri="{C3380CC4-5D6E-409C-BE32-E72D297353CC}">
                <c16:uniqueId val="{00000003-C7DB-2E45-90BB-6DC788D4A4C5}"/>
              </c:ext>
            </c:extLst>
          </c:dPt>
          <c:dPt>
            <c:idx val="2"/>
            <c:bubble3D val="0"/>
            <c:spPr>
              <a:solidFill>
                <a:schemeClr val="accent6">
                  <a:lumMod val="60000"/>
                  <a:lumOff val="40000"/>
                </a:schemeClr>
              </a:solidFill>
            </c:spPr>
            <c:extLst>
              <c:ext xmlns:c16="http://schemas.microsoft.com/office/drawing/2014/chart" uri="{C3380CC4-5D6E-409C-BE32-E72D297353CC}">
                <c16:uniqueId val="{00000005-C7DB-2E45-90BB-6DC788D4A4C5}"/>
              </c:ext>
            </c:extLst>
          </c:dPt>
          <c:dLbls>
            <c:dLbl>
              <c:idx val="0"/>
              <c:layout>
                <c:manualLayout>
                  <c:x val="0.15785331075843498"/>
                  <c:y val="-6.5388707585077338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DB-2E45-90BB-6DC788D4A4C5}"/>
                </c:ext>
              </c:extLst>
            </c:dLbl>
            <c:dLbl>
              <c:idx val="1"/>
              <c:spPr>
                <a:noFill/>
                <a:ln>
                  <a:noFill/>
                </a:ln>
                <a:effectLst/>
              </c:spPr>
              <c:txPr>
                <a:bodyPr wrap="square" lIns="38100" tIns="19050" rIns="38100" bIns="19050" anchor="ctr">
                  <a:spAutoFit/>
                </a:bodyPr>
                <a:lstStyle/>
                <a:p>
                  <a:pPr>
                    <a:defRPr>
                      <a:solidFill>
                        <a:schemeClr val="accent4"/>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3-C7DB-2E45-90BB-6DC788D4A4C5}"/>
                </c:ext>
              </c:extLst>
            </c:dLbl>
            <c:dLbl>
              <c:idx val="2"/>
              <c:layout>
                <c:manualLayout>
                  <c:x val="4.4477275508955166E-2"/>
                  <c:y val="-3.9954088941404099E-3"/>
                </c:manualLayout>
              </c:layout>
              <c:spPr>
                <a:noFill/>
                <a:ln>
                  <a:noFill/>
                </a:ln>
                <a:effectLst/>
              </c:spPr>
              <c:txPr>
                <a:bodyPr wrap="square" lIns="38100" tIns="19050" rIns="38100" bIns="19050" anchor="ctr">
                  <a:spAutoFit/>
                </a:bodyPr>
                <a:lstStyle/>
                <a:p>
                  <a:pPr>
                    <a:defRPr>
                      <a:solidFill>
                        <a:schemeClr val="accent6"/>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7DB-2E45-90BB-6DC788D4A4C5}"/>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RESULTS!$O$182:$O$184</c:f>
              <c:strCache>
                <c:ptCount val="3"/>
                <c:pt idx="0">
                  <c:v>CapEx</c:v>
                </c:pt>
                <c:pt idx="1">
                  <c:v>Installation</c:v>
                </c:pt>
                <c:pt idx="2">
                  <c:v>O&amp;M (1 yr)</c:v>
                </c:pt>
              </c:strCache>
            </c:strRef>
          </c:cat>
          <c:val>
            <c:numRef>
              <c:f>RESULTS!$R$182:$R$184</c:f>
              <c:numCache>
                <c:formatCode>"$"#,##0</c:formatCode>
                <c:ptCount val="3"/>
                <c:pt idx="0">
                  <c:v>3002729</c:v>
                </c:pt>
                <c:pt idx="1">
                  <c:v>38814.342166666662</c:v>
                </c:pt>
                <c:pt idx="2">
                  <c:v>133252.85290370366</c:v>
                </c:pt>
              </c:numCache>
            </c:numRef>
          </c:val>
          <c:extLst>
            <c:ext xmlns:c16="http://schemas.microsoft.com/office/drawing/2014/chart" uri="{C3380CC4-5D6E-409C-BE32-E72D297353CC}">
              <c16:uniqueId val="{00000006-C7DB-2E45-90BB-6DC788D4A4C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1568071478111883"/>
          <c:y val="0.45570891369475719"/>
          <c:w val="0.25032944392313655"/>
          <c:h val="0.2395081652371856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Battery Swap Cost Breakdown (High</a:t>
            </a:r>
            <a:r>
              <a:rPr lang="en-US" sz="1600" b="1" baseline="0"/>
              <a:t> Latitude</a:t>
            </a:r>
            <a:r>
              <a:rPr lang="en-US" sz="1600" b="1"/>
              <a:t>)</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0"/>
          <c:order val="0"/>
          <c:tx>
            <c:strRef>
              <c:f>RESULTS!$R$203</c:f>
              <c:strCache>
                <c:ptCount val="1"/>
                <c:pt idx="0">
                  <c:v>High Latitude
 (Alaska State Waters)</c:v>
                </c:pt>
              </c:strCache>
            </c:strRef>
          </c:tx>
          <c:dPt>
            <c:idx val="0"/>
            <c:bubble3D val="0"/>
            <c:spPr>
              <a:solidFill>
                <a:schemeClr val="accent5"/>
              </a:solidFill>
            </c:spPr>
            <c:extLst>
              <c:ext xmlns:c16="http://schemas.microsoft.com/office/drawing/2014/chart" uri="{C3380CC4-5D6E-409C-BE32-E72D297353CC}">
                <c16:uniqueId val="{00000001-DBAD-BF4F-AADF-2EB5711DE296}"/>
              </c:ext>
            </c:extLst>
          </c:dPt>
          <c:dPt>
            <c:idx val="1"/>
            <c:bubble3D val="0"/>
            <c:spPr>
              <a:solidFill>
                <a:schemeClr val="accent4"/>
              </a:solidFill>
            </c:spPr>
            <c:extLst>
              <c:ext xmlns:c16="http://schemas.microsoft.com/office/drawing/2014/chart" uri="{C3380CC4-5D6E-409C-BE32-E72D297353CC}">
                <c16:uniqueId val="{00000003-DBAD-BF4F-AADF-2EB5711DE296}"/>
              </c:ext>
            </c:extLst>
          </c:dPt>
          <c:dPt>
            <c:idx val="2"/>
            <c:bubble3D val="0"/>
            <c:spPr>
              <a:solidFill>
                <a:schemeClr val="accent6">
                  <a:lumMod val="60000"/>
                  <a:lumOff val="40000"/>
                </a:schemeClr>
              </a:solidFill>
            </c:spPr>
            <c:extLst>
              <c:ext xmlns:c16="http://schemas.microsoft.com/office/drawing/2014/chart" uri="{C3380CC4-5D6E-409C-BE32-E72D297353CC}">
                <c16:uniqueId val="{00000005-DBAD-BF4F-AADF-2EB5711DE296}"/>
              </c:ext>
            </c:extLst>
          </c:dPt>
          <c:dLbls>
            <c:dLbl>
              <c:idx val="0"/>
              <c:layout>
                <c:manualLayout>
                  <c:x val="0.15785331075843498"/>
                  <c:y val="-6.5388707585077338E-2"/>
                </c:manualLayout>
              </c:layout>
              <c:spPr>
                <a:noFill/>
                <a:ln>
                  <a:noFill/>
                </a:ln>
                <a:effectLst/>
              </c:spPr>
              <c:txPr>
                <a:bodyPr wrap="square" lIns="38100" tIns="19050" rIns="38100" bIns="19050" anchor="ctr">
                  <a:spAutoFit/>
                </a:bodyPr>
                <a:lstStyle/>
                <a:p>
                  <a:pPr>
                    <a:defRPr>
                      <a:solidFill>
                        <a:schemeClr val="accent5"/>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BAD-BF4F-AADF-2EB5711DE296}"/>
                </c:ext>
              </c:extLst>
            </c:dLbl>
            <c:dLbl>
              <c:idx val="1"/>
              <c:spPr>
                <a:noFill/>
                <a:ln>
                  <a:noFill/>
                </a:ln>
                <a:effectLst/>
              </c:spPr>
              <c:txPr>
                <a:bodyPr wrap="square" lIns="38100" tIns="19050" rIns="38100" bIns="19050" anchor="ctr">
                  <a:spAutoFit/>
                </a:bodyPr>
                <a:lstStyle/>
                <a:p>
                  <a:pPr>
                    <a:defRPr>
                      <a:solidFill>
                        <a:schemeClr val="accent4"/>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3-DBAD-BF4F-AADF-2EB5711DE296}"/>
                </c:ext>
              </c:extLst>
            </c:dLbl>
            <c:dLbl>
              <c:idx val="2"/>
              <c:layout>
                <c:manualLayout>
                  <c:x val="4.4477275508955166E-2"/>
                  <c:y val="-3.9954088941404099E-3"/>
                </c:manualLayout>
              </c:layout>
              <c:spPr>
                <a:noFill/>
                <a:ln>
                  <a:noFill/>
                </a:ln>
                <a:effectLst/>
              </c:spPr>
              <c:txPr>
                <a:bodyPr wrap="square" lIns="38100" tIns="19050" rIns="38100" bIns="19050" anchor="ctr">
                  <a:spAutoFit/>
                </a:bodyPr>
                <a:lstStyle/>
                <a:p>
                  <a:pPr>
                    <a:defRPr>
                      <a:solidFill>
                        <a:schemeClr val="accent6"/>
                      </a:solidFill>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BAD-BF4F-AADF-2EB5711DE29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RESULTS!$O$204:$O$206</c:f>
              <c:strCache>
                <c:ptCount val="3"/>
                <c:pt idx="0">
                  <c:v>CapEx</c:v>
                </c:pt>
                <c:pt idx="1">
                  <c:v>Installation</c:v>
                </c:pt>
                <c:pt idx="2">
                  <c:v>O&amp;M (1 yr)</c:v>
                </c:pt>
              </c:strCache>
            </c:strRef>
          </c:cat>
          <c:val>
            <c:numRef>
              <c:f>RESULTS!$R$204:$R$206</c:f>
              <c:numCache>
                <c:formatCode>"$"#,##0</c:formatCode>
                <c:ptCount val="3"/>
                <c:pt idx="0">
                  <c:v>2954784</c:v>
                </c:pt>
                <c:pt idx="1">
                  <c:v>42569.721333333327</c:v>
                </c:pt>
                <c:pt idx="2">
                  <c:v>213360.52743703697</c:v>
                </c:pt>
              </c:numCache>
            </c:numRef>
          </c:val>
          <c:extLst>
            <c:ext xmlns:c16="http://schemas.microsoft.com/office/drawing/2014/chart" uri="{C3380CC4-5D6E-409C-BE32-E72D297353CC}">
              <c16:uniqueId val="{00000006-DBAD-BF4F-AADF-2EB5711DE29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1568071478111883"/>
          <c:y val="0.45570891369475719"/>
          <c:w val="0.25032944392313655"/>
          <c:h val="0.2395081652371856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Solar Buoy Cost Breakdown (Nearshore)</a:t>
            </a:r>
          </a:p>
        </c:rich>
      </c:tx>
      <c:layout>
        <c:manualLayout>
          <c:xMode val="edge"/>
          <c:yMode val="edge"/>
          <c:x val="0.18351678838072702"/>
          <c:y val="4.2510114681673837E-2"/>
        </c:manualLayout>
      </c:layout>
      <c:overlay val="0"/>
      <c:spPr>
        <a:noFill/>
        <a:ln>
          <a:noFill/>
        </a:ln>
        <a:effectLst/>
      </c:spPr>
    </c:title>
    <c:autoTitleDeleted val="0"/>
    <c:plotArea>
      <c:layout/>
      <c:pieChart>
        <c:varyColors val="1"/>
        <c:ser>
          <c:idx val="0"/>
          <c:order val="0"/>
          <c:tx>
            <c:strRef>
              <c:f>RESULTS!$P$203</c:f>
              <c:strCache>
                <c:ptCount val="1"/>
                <c:pt idx="0">
                  <c:v>Nearshore 
(Mass. State Waters)</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39A7-C849-9661-9B0FF0C7BC53}"/>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9A7-C849-9661-9B0FF0C7BC53}"/>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39A7-C849-9661-9B0FF0C7BC53}"/>
              </c:ext>
            </c:extLst>
          </c:dPt>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5"/>
                      </a:solidFill>
                      <a:latin typeface="+mn-lt"/>
                      <a:ea typeface="+mn-ea"/>
                      <a:cs typeface="+mn-cs"/>
                    </a:defRPr>
                  </a:pPr>
                  <a:endParaRPr lang="en-US"/>
                </a:p>
              </c:txPr>
              <c:dLblPos val="outEnd"/>
              <c:showLegendKey val="0"/>
              <c:showVal val="0"/>
              <c:showCatName val="0"/>
              <c:showSerName val="0"/>
              <c:showPercent val="1"/>
              <c:showBubbleSize val="0"/>
              <c:extLst>
                <c:ext xmlns:c16="http://schemas.microsoft.com/office/drawing/2014/chart" uri="{C3380CC4-5D6E-409C-BE32-E72D297353CC}">
                  <c16:uniqueId val="{00000001-39A7-C849-9661-9B0FF0C7BC53}"/>
                </c:ext>
              </c:extLst>
            </c:dLbl>
            <c:dLbl>
              <c:idx val="1"/>
              <c:layout>
                <c:manualLayout>
                  <c:x val="-2.5906735751295335E-2"/>
                  <c:y val="-2.5684928043775207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4"/>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A7-C849-9661-9B0FF0C7BC53}"/>
                </c:ext>
              </c:extLst>
            </c:dLbl>
            <c:dLbl>
              <c:idx val="2"/>
              <c:layout>
                <c:manualLayout>
                  <c:x val="2.3316062176165803E-2"/>
                  <c:y val="-2.5684928043775207E-3"/>
                </c:manualLayout>
              </c:layout>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6"/>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9A7-C849-9661-9B0FF0C7BC53}"/>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RESULTS!$O$204:$O$206</c:f>
              <c:strCache>
                <c:ptCount val="3"/>
                <c:pt idx="0">
                  <c:v>CapEx</c:v>
                </c:pt>
                <c:pt idx="1">
                  <c:v>Installation</c:v>
                </c:pt>
                <c:pt idx="2">
                  <c:v>O&amp;M (1 yr)</c:v>
                </c:pt>
              </c:strCache>
            </c:strRef>
          </c:cat>
          <c:val>
            <c:numRef>
              <c:f>RESULTS!$P$204:$P$206</c:f>
              <c:numCache>
                <c:formatCode>"$"#,##0</c:formatCode>
                <c:ptCount val="3"/>
                <c:pt idx="0">
                  <c:v>2954784</c:v>
                </c:pt>
                <c:pt idx="1">
                  <c:v>13479.013333333334</c:v>
                </c:pt>
                <c:pt idx="2">
                  <c:v>154959.75733333334</c:v>
                </c:pt>
              </c:numCache>
            </c:numRef>
          </c:val>
          <c:extLst>
            <c:ext xmlns:c16="http://schemas.microsoft.com/office/drawing/2014/chart" uri="{C3380CC4-5D6E-409C-BE32-E72D297353CC}">
              <c16:uniqueId val="{00000006-39A7-C849-9661-9B0FF0C7BC5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7422993757904615"/>
          <c:y val="0.45259691851877348"/>
          <c:w val="0.25032944392313655"/>
          <c:h val="0.2307811484616741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MADWEC + AUV CapEx Breakdown</a:t>
            </a:r>
          </a:p>
        </c:rich>
      </c:tx>
      <c:layout>
        <c:manualLayout>
          <c:xMode val="edge"/>
          <c:yMode val="edge"/>
          <c:x val="0.16012121687589306"/>
          <c:y val="4.456476690807671E-2"/>
        </c:manualLayout>
      </c:layout>
      <c:overlay val="0"/>
      <c:spPr>
        <a:noFill/>
        <a:ln>
          <a:noFill/>
        </a:ln>
        <a:effectLst/>
      </c:spPr>
    </c:title>
    <c:autoTitleDeleted val="0"/>
    <c:plotArea>
      <c:layout>
        <c:manualLayout>
          <c:layoutTarget val="inner"/>
          <c:xMode val="edge"/>
          <c:yMode val="edge"/>
          <c:x val="7.3565745991595613E-2"/>
          <c:y val="0.26790927917252683"/>
          <c:w val="0.5739641385500388"/>
          <c:h val="0.62319339084596725"/>
        </c:manualLayout>
      </c:layout>
      <c:pieChart>
        <c:varyColors val="1"/>
        <c:ser>
          <c:idx val="0"/>
          <c:order val="0"/>
          <c:tx>
            <c:strRef>
              <c:f>RESULTS!$P$227</c:f>
              <c:strCache>
                <c:ptCount val="1"/>
                <c:pt idx="0">
                  <c:v>MADWEC</c:v>
                </c:pt>
              </c:strCache>
            </c:strRef>
          </c:tx>
          <c:spPr>
            <a:ln>
              <a:solidFill>
                <a:schemeClr val="bg1"/>
              </a:solidFill>
            </a:ln>
          </c:spPr>
          <c:dPt>
            <c:idx val="0"/>
            <c:bubble3D val="0"/>
            <c:spPr>
              <a:solidFill>
                <a:schemeClr val="accent5"/>
              </a:solidFill>
              <a:ln w="19050">
                <a:solidFill>
                  <a:schemeClr val="bg1"/>
                </a:solidFill>
              </a:ln>
              <a:effectLst/>
            </c:spPr>
            <c:extLst>
              <c:ext xmlns:c16="http://schemas.microsoft.com/office/drawing/2014/chart" uri="{C3380CC4-5D6E-409C-BE32-E72D297353CC}">
                <c16:uniqueId val="{00000001-AF74-9C4B-B606-EEEED372C51B}"/>
              </c:ext>
            </c:extLst>
          </c:dPt>
          <c:dPt>
            <c:idx val="1"/>
            <c:bubble3D val="0"/>
            <c:spPr>
              <a:solidFill>
                <a:schemeClr val="accent2"/>
              </a:solidFill>
              <a:ln w="19050">
                <a:solidFill>
                  <a:schemeClr val="bg1"/>
                </a:solidFill>
              </a:ln>
              <a:effectLst/>
            </c:spPr>
            <c:extLst>
              <c:ext xmlns:c16="http://schemas.microsoft.com/office/drawing/2014/chart" uri="{C3380CC4-5D6E-409C-BE32-E72D297353CC}">
                <c16:uniqueId val="{00000003-AF74-9C4B-B606-EEEED372C51B}"/>
              </c:ext>
            </c:extLst>
          </c:dPt>
          <c:dPt>
            <c:idx val="2"/>
            <c:bubble3D val="0"/>
            <c:spPr>
              <a:solidFill>
                <a:schemeClr val="accent6">
                  <a:lumMod val="60000"/>
                  <a:lumOff val="40000"/>
                </a:schemeClr>
              </a:solidFill>
              <a:ln w="19050">
                <a:solidFill>
                  <a:schemeClr val="bg1"/>
                </a:solidFill>
              </a:ln>
              <a:effectLst/>
            </c:spPr>
            <c:extLst>
              <c:ext xmlns:c16="http://schemas.microsoft.com/office/drawing/2014/chart" uri="{C3380CC4-5D6E-409C-BE32-E72D297353CC}">
                <c16:uniqueId val="{00000005-AF74-9C4B-B606-EEEED372C51B}"/>
              </c:ext>
            </c:extLst>
          </c:dPt>
          <c:dPt>
            <c:idx val="4"/>
            <c:bubble3D val="0"/>
            <c:spPr>
              <a:solidFill>
                <a:srgbClr val="002060"/>
              </a:solidFill>
              <a:ln>
                <a:solidFill>
                  <a:schemeClr val="bg1"/>
                </a:solidFill>
              </a:ln>
            </c:spPr>
            <c:extLst>
              <c:ext xmlns:c16="http://schemas.microsoft.com/office/drawing/2014/chart" uri="{C3380CC4-5D6E-409C-BE32-E72D297353CC}">
                <c16:uniqueId val="{00000006-F77B-954A-AAE8-A0A1BB90B627}"/>
              </c:ext>
            </c:extLst>
          </c:dPt>
          <c:dLbls>
            <c:dLbl>
              <c:idx val="0"/>
              <c:layout>
                <c:manualLayout>
                  <c:x val="2.5927000854340992E-2"/>
                  <c:y val="-3.6743633600929491E-2"/>
                </c:manualLayout>
              </c:layout>
              <c:spPr>
                <a:noFill/>
                <a:ln>
                  <a:noFill/>
                </a:ln>
                <a:effectLst/>
              </c:spPr>
              <c:txPr>
                <a:bodyPr rot="0" vert="horz"/>
                <a:lstStyle/>
                <a:p>
                  <a:pPr>
                    <a:defRPr>
                      <a:solidFill>
                        <a:schemeClr val="accent5"/>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F74-9C4B-B606-EEEED372C51B}"/>
                </c:ext>
              </c:extLst>
            </c:dLbl>
            <c:dLbl>
              <c:idx val="1"/>
              <c:layout>
                <c:manualLayout>
                  <c:x val="-2.8502491487248247E-2"/>
                  <c:y val="-3.853295704814632E-2"/>
                </c:manualLayout>
              </c:layout>
              <c:spPr>
                <a:noFill/>
                <a:ln>
                  <a:noFill/>
                </a:ln>
                <a:effectLst/>
              </c:spPr>
              <c:txPr>
                <a:bodyPr rot="0" vert="horz"/>
                <a:lstStyle/>
                <a:p>
                  <a:pPr>
                    <a:defRPr>
                      <a:solidFill>
                        <a:schemeClr val="accent2"/>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F74-9C4B-B606-EEEED372C51B}"/>
                </c:ext>
              </c:extLst>
            </c:dLbl>
            <c:dLbl>
              <c:idx val="2"/>
              <c:layout>
                <c:manualLayout>
                  <c:x val="2.0717217077415612E-2"/>
                  <c:y val="3.0589679430056818E-2"/>
                </c:manualLayout>
              </c:layout>
              <c:spPr>
                <a:noFill/>
                <a:ln>
                  <a:noFill/>
                </a:ln>
                <a:effectLst/>
              </c:spPr>
              <c:txPr>
                <a:bodyPr rot="0" vert="horz"/>
                <a:lstStyle/>
                <a:p>
                  <a:pPr>
                    <a:defRPr>
                      <a:solidFill>
                        <a:schemeClr val="accent6"/>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F74-9C4B-B606-EEEED372C51B}"/>
                </c:ext>
              </c:extLst>
            </c:dLbl>
            <c:dLbl>
              <c:idx val="3"/>
              <c:layout>
                <c:manualLayout>
                  <c:x val="-0.13212437928366433"/>
                  <c:y val="2.6288340872429546E-3"/>
                </c:manualLayout>
              </c:layout>
              <c:spPr>
                <a:noFill/>
                <a:ln>
                  <a:noFill/>
                </a:ln>
                <a:effectLst/>
              </c:spPr>
              <c:txPr>
                <a:bodyPr rot="0" vert="horz"/>
                <a:lstStyle/>
                <a:p>
                  <a:pPr>
                    <a:defRPr>
                      <a:solidFill>
                        <a:schemeClr val="accent4"/>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F74-9C4B-B606-EEEED372C51B}"/>
                </c:ext>
              </c:extLst>
            </c:dLbl>
            <c:dLbl>
              <c:idx val="4"/>
              <c:layout>
                <c:manualLayout>
                  <c:x val="-3.3744425322830528E-2"/>
                  <c:y val="-3.0826689278299468E-2"/>
                </c:manualLayout>
              </c:layout>
              <c:spPr>
                <a:noFill/>
                <a:ln>
                  <a:noFill/>
                </a:ln>
                <a:effectLst/>
              </c:spPr>
              <c:txPr>
                <a:bodyPr rot="0" vert="horz"/>
                <a:lstStyle/>
                <a:p>
                  <a:pPr>
                    <a:defRPr>
                      <a:solidFill>
                        <a:srgbClr val="1F3764"/>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77B-954A-AAE8-A0A1BB90B627}"/>
                </c:ext>
              </c:extLst>
            </c:dLbl>
            <c:spPr>
              <a:noFill/>
              <a:ln>
                <a:noFill/>
              </a:ln>
              <a:effectLst/>
            </c:spPr>
            <c:txPr>
              <a:bodyPr rot="0" vert="horz"/>
              <a:lstStyle/>
              <a:p>
                <a:pPr>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RESULTS!$O$228:$O$232</c:f>
              <c:strCache>
                <c:ptCount val="5"/>
                <c:pt idx="0">
                  <c:v>Energy Converter/ Storage</c:v>
                </c:pt>
                <c:pt idx="1">
                  <c:v>AUV System</c:v>
                </c:pt>
                <c:pt idx="2">
                  <c:v>Balance of Systems</c:v>
                </c:pt>
                <c:pt idx="3">
                  <c:v>Financials</c:v>
                </c:pt>
                <c:pt idx="4">
                  <c:v>Installation (Averaged by Location)</c:v>
                </c:pt>
              </c:strCache>
            </c:strRef>
          </c:cat>
          <c:val>
            <c:numRef>
              <c:f>RESULTS!$P$228:$P$232</c:f>
              <c:numCache>
                <c:formatCode>"$"#,##0</c:formatCode>
                <c:ptCount val="5"/>
                <c:pt idx="0">
                  <c:v>37946.61</c:v>
                </c:pt>
                <c:pt idx="1">
                  <c:v>1267959</c:v>
                </c:pt>
                <c:pt idx="2">
                  <c:v>2880480</c:v>
                </c:pt>
                <c:pt idx="3">
                  <c:v>0</c:v>
                </c:pt>
                <c:pt idx="4">
                  <c:v>27163.611055555553</c:v>
                </c:pt>
              </c:numCache>
            </c:numRef>
          </c:val>
          <c:extLst>
            <c:ext xmlns:c16="http://schemas.microsoft.com/office/drawing/2014/chart" uri="{C3380CC4-5D6E-409C-BE32-E72D297353CC}">
              <c16:uniqueId val="{00000006-AF74-9C4B-B606-EEEED372C51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0272734690547112"/>
          <c:y val="0.15120236696809827"/>
          <c:w val="0.27635286198033537"/>
          <c:h val="0.84740998948889457"/>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Solar Buoy + AUV CapEx Breakdown</a:t>
            </a:r>
          </a:p>
        </c:rich>
      </c:tx>
      <c:layout>
        <c:manualLayout>
          <c:xMode val="edge"/>
          <c:yMode val="edge"/>
          <c:x val="0.14452790682832395"/>
          <c:y val="5.0683208396895163E-2"/>
        </c:manualLayout>
      </c:layout>
      <c:overlay val="0"/>
      <c:spPr>
        <a:noFill/>
        <a:ln>
          <a:noFill/>
        </a:ln>
        <a:effectLst/>
      </c:spPr>
    </c:title>
    <c:autoTitleDeleted val="0"/>
    <c:plotArea>
      <c:layout>
        <c:manualLayout>
          <c:layoutTarget val="inner"/>
          <c:xMode val="edge"/>
          <c:yMode val="edge"/>
          <c:x val="7.3565745991595613E-2"/>
          <c:y val="0.26443378310844573"/>
          <c:w val="0.5739641385500388"/>
          <c:h val="0.62495130212671446"/>
        </c:manualLayout>
      </c:layout>
      <c:pieChart>
        <c:varyColors val="1"/>
        <c:ser>
          <c:idx val="0"/>
          <c:order val="0"/>
          <c:tx>
            <c:strRef>
              <c:f>RESULTS!$Q$227</c:f>
              <c:strCache>
                <c:ptCount val="1"/>
                <c:pt idx="0">
                  <c:v>Solar Buoy</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F600-4C4B-88B7-F801EE8167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00-4C4B-88B7-F801EE8167CF}"/>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F600-4C4B-88B7-F801EE8167CF}"/>
              </c:ext>
            </c:extLst>
          </c:dPt>
          <c:dPt>
            <c:idx val="4"/>
            <c:bubble3D val="0"/>
            <c:spPr>
              <a:solidFill>
                <a:srgbClr val="002060"/>
              </a:solidFill>
            </c:spPr>
            <c:extLst>
              <c:ext xmlns:c16="http://schemas.microsoft.com/office/drawing/2014/chart" uri="{C3380CC4-5D6E-409C-BE32-E72D297353CC}">
                <c16:uniqueId val="{00000006-6DA0-2547-BF31-E74439B23EB8}"/>
              </c:ext>
            </c:extLst>
          </c:dPt>
          <c:dLbls>
            <c:dLbl>
              <c:idx val="0"/>
              <c:layout>
                <c:manualLayout>
                  <c:x val="3.1110011637757534E-2"/>
                  <c:y val="-3.4174838928286301E-2"/>
                </c:manualLayout>
              </c:layout>
              <c:spPr>
                <a:noFill/>
                <a:ln>
                  <a:noFill/>
                </a:ln>
                <a:effectLst/>
              </c:spPr>
              <c:txPr>
                <a:bodyPr rot="0" vert="horz"/>
                <a:lstStyle/>
                <a:p>
                  <a:pPr>
                    <a:defRPr>
                      <a:solidFill>
                        <a:schemeClr val="accent5"/>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600-4C4B-88B7-F801EE8167CF}"/>
                </c:ext>
              </c:extLst>
            </c:dLbl>
            <c:dLbl>
              <c:idx val="1"/>
              <c:layout>
                <c:manualLayout>
                  <c:x val="-2.5906828893914598E-2"/>
                  <c:y val="-6.6567775094845044E-2"/>
                </c:manualLayout>
              </c:layout>
              <c:spPr>
                <a:noFill/>
                <a:ln>
                  <a:noFill/>
                </a:ln>
                <a:effectLst/>
              </c:spPr>
              <c:txPr>
                <a:bodyPr rot="0" vert="horz"/>
                <a:lstStyle/>
                <a:p>
                  <a:pPr>
                    <a:defRPr>
                      <a:solidFill>
                        <a:schemeClr val="accent2"/>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600-4C4B-88B7-F801EE8167CF}"/>
                </c:ext>
              </c:extLst>
            </c:dLbl>
            <c:dLbl>
              <c:idx val="2"/>
              <c:layout>
                <c:manualLayout>
                  <c:x val="2.3315962153693977E-2"/>
                  <c:y val="4.8631029014577443E-2"/>
                </c:manualLayout>
              </c:layout>
              <c:tx>
                <c:rich>
                  <a:bodyPr/>
                  <a:lstStyle/>
                  <a:p>
                    <a:fld id="{0C698C59-77F1-9D49-B209-DEE03FB2F8FF}" type="PERCENTAGE">
                      <a:rPr lang="en-US">
                        <a:solidFill>
                          <a:schemeClr val="accent6"/>
                        </a:solidFill>
                      </a:rPr>
                      <a:pPr/>
                      <a:t>[PERCENTAGE]</a:t>
                    </a:fld>
                    <a:endParaRPr lang="en-US"/>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600-4C4B-88B7-F801EE8167CF}"/>
                </c:ext>
              </c:extLst>
            </c:dLbl>
            <c:dLbl>
              <c:idx val="3"/>
              <c:layout>
                <c:manualLayout>
                  <c:x val="-0.13212437928366433"/>
                  <c:y val="2.6288340872429546E-3"/>
                </c:manualLayout>
              </c:layout>
              <c:spPr>
                <a:noFill/>
                <a:ln>
                  <a:noFill/>
                </a:ln>
                <a:effectLst/>
              </c:spPr>
              <c:txPr>
                <a:bodyPr rot="0" vert="horz"/>
                <a:lstStyle/>
                <a:p>
                  <a:pPr>
                    <a:defRPr>
                      <a:solidFill>
                        <a:schemeClr val="accent4"/>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600-4C4B-88B7-F801EE8167CF}"/>
                </c:ext>
              </c:extLst>
            </c:dLbl>
            <c:dLbl>
              <c:idx val="4"/>
              <c:layout>
                <c:manualLayout>
                  <c:x val="-2.8537734259151636E-2"/>
                  <c:y val="-3.327965452049989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DA0-2547-BF31-E74439B23EB8}"/>
                </c:ext>
              </c:extLst>
            </c:dLbl>
            <c:spPr>
              <a:noFill/>
              <a:ln>
                <a:noFill/>
              </a:ln>
              <a:effectLst/>
            </c:spPr>
            <c:txPr>
              <a:bodyPr rot="0" vert="horz"/>
              <a:lstStyle/>
              <a:p>
                <a:pPr>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RESULTS!$O$228:$O$232</c:f>
              <c:strCache>
                <c:ptCount val="5"/>
                <c:pt idx="0">
                  <c:v>Energy Converter/ Storage</c:v>
                </c:pt>
                <c:pt idx="1">
                  <c:v>AUV System</c:v>
                </c:pt>
                <c:pt idx="2">
                  <c:v>Balance of Systems</c:v>
                </c:pt>
                <c:pt idx="3">
                  <c:v>Financials</c:v>
                </c:pt>
                <c:pt idx="4">
                  <c:v>Installation (Averaged by Location)</c:v>
                </c:pt>
              </c:strCache>
            </c:strRef>
          </c:cat>
          <c:val>
            <c:numRef>
              <c:f>RESULTS!$Q$228:$Q$232</c:f>
              <c:numCache>
                <c:formatCode>"$"#,##0</c:formatCode>
                <c:ptCount val="5"/>
                <c:pt idx="0">
                  <c:v>120621</c:v>
                </c:pt>
                <c:pt idx="1">
                  <c:v>1267959</c:v>
                </c:pt>
                <c:pt idx="2">
                  <c:v>2882108</c:v>
                </c:pt>
                <c:pt idx="3">
                  <c:v>0</c:v>
                </c:pt>
                <c:pt idx="4">
                  <c:v>26801.230944444444</c:v>
                </c:pt>
              </c:numCache>
            </c:numRef>
          </c:val>
          <c:extLst>
            <c:ext xmlns:c16="http://schemas.microsoft.com/office/drawing/2014/chart" uri="{C3380CC4-5D6E-409C-BE32-E72D297353CC}">
              <c16:uniqueId val="{00000007-F600-4C4B-88B7-F801EE8167C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0272734690547112"/>
          <c:y val="0.22896896565005015"/>
          <c:w val="0.27635286198033537"/>
          <c:h val="0.68837547326839443"/>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Batteries + AUV CapEx Breakdown</a:t>
            </a:r>
          </a:p>
        </c:rich>
      </c:tx>
      <c:layout>
        <c:manualLayout>
          <c:xMode val="edge"/>
          <c:yMode val="edge"/>
          <c:x val="0.18423707595557881"/>
          <c:y val="4.5139072551496129E-2"/>
        </c:manualLayout>
      </c:layout>
      <c:overlay val="0"/>
      <c:spPr>
        <a:noFill/>
        <a:ln>
          <a:noFill/>
        </a:ln>
        <a:effectLst/>
      </c:spPr>
    </c:title>
    <c:autoTitleDeleted val="0"/>
    <c:plotArea>
      <c:layout>
        <c:manualLayout>
          <c:layoutTarget val="inner"/>
          <c:xMode val="edge"/>
          <c:yMode val="edge"/>
          <c:x val="7.097507241646607E-2"/>
          <c:y val="0.23830829370426881"/>
          <c:w val="0.5739641385500388"/>
          <c:h val="0.62671915893575081"/>
        </c:manualLayout>
      </c:layout>
      <c:pieChart>
        <c:varyColors val="1"/>
        <c:ser>
          <c:idx val="0"/>
          <c:order val="0"/>
          <c:tx>
            <c:strRef>
              <c:f>RESULTS!$R$227</c:f>
              <c:strCache>
                <c:ptCount val="1"/>
                <c:pt idx="0">
                  <c:v>Battery System</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0B03-6044-81EF-A81376F8C8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03-6044-81EF-A81376F8C8D7}"/>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0B03-6044-81EF-A81376F8C8D7}"/>
              </c:ext>
            </c:extLst>
          </c:dPt>
          <c:dPt>
            <c:idx val="4"/>
            <c:bubble3D val="0"/>
            <c:spPr>
              <a:solidFill>
                <a:srgbClr val="002060"/>
              </a:solidFill>
            </c:spPr>
            <c:extLst>
              <c:ext xmlns:c16="http://schemas.microsoft.com/office/drawing/2014/chart" uri="{C3380CC4-5D6E-409C-BE32-E72D297353CC}">
                <c16:uniqueId val="{00000006-B136-FD4A-9A3A-02AD18B73D0D}"/>
              </c:ext>
            </c:extLst>
          </c:dPt>
          <c:dLbls>
            <c:dLbl>
              <c:idx val="0"/>
              <c:layout>
                <c:manualLayout>
                  <c:x val="3.3183094522672374E-2"/>
                  <c:y val="-3.4174843061914963E-2"/>
                </c:manualLayout>
              </c:layout>
              <c:spPr>
                <a:noFill/>
                <a:ln>
                  <a:noFill/>
                </a:ln>
                <a:effectLst/>
              </c:spPr>
              <c:txPr>
                <a:bodyPr rot="0" vert="horz"/>
                <a:lstStyle/>
                <a:p>
                  <a:pPr>
                    <a:defRPr>
                      <a:solidFill>
                        <a:schemeClr val="accent5"/>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B03-6044-81EF-A81376F8C8D7}"/>
                </c:ext>
              </c:extLst>
            </c:dLbl>
            <c:dLbl>
              <c:idx val="1"/>
              <c:layout>
                <c:manualLayout>
                  <c:x val="-2.5906670984147544E-2"/>
                  <c:y val="-5.3899438775706153E-2"/>
                </c:manualLayout>
              </c:layout>
              <c:spPr>
                <a:noFill/>
                <a:ln>
                  <a:noFill/>
                </a:ln>
                <a:effectLst/>
              </c:spPr>
              <c:txPr>
                <a:bodyPr rot="0" vert="horz"/>
                <a:lstStyle/>
                <a:p>
                  <a:pPr>
                    <a:defRPr>
                      <a:solidFill>
                        <a:schemeClr val="accent2"/>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B03-6044-81EF-A81376F8C8D7}"/>
                </c:ext>
              </c:extLst>
            </c:dLbl>
            <c:dLbl>
              <c:idx val="2"/>
              <c:layout>
                <c:manualLayout>
                  <c:x val="2.3315984044368465E-2"/>
                  <c:y val="2.5663416182846233E-2"/>
                </c:manualLayout>
              </c:layout>
              <c:spPr>
                <a:noFill/>
                <a:ln>
                  <a:noFill/>
                </a:ln>
                <a:effectLst/>
              </c:spPr>
              <c:txPr>
                <a:bodyPr rot="0" vert="horz"/>
                <a:lstStyle/>
                <a:p>
                  <a:pPr>
                    <a:defRPr>
                      <a:solidFill>
                        <a:schemeClr val="accent6"/>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B03-6044-81EF-A81376F8C8D7}"/>
                </c:ext>
              </c:extLst>
            </c:dLbl>
            <c:dLbl>
              <c:idx val="3"/>
              <c:layout>
                <c:manualLayout>
                  <c:x val="-0.13212437928366433"/>
                  <c:y val="2.6288340872429546E-3"/>
                </c:manualLayout>
              </c:layout>
              <c:spPr>
                <a:noFill/>
                <a:ln>
                  <a:noFill/>
                </a:ln>
                <a:effectLst/>
              </c:spPr>
              <c:txPr>
                <a:bodyPr rot="0" vert="horz"/>
                <a:lstStyle/>
                <a:p>
                  <a:pPr>
                    <a:defRPr>
                      <a:solidFill>
                        <a:schemeClr val="accent4"/>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B03-6044-81EF-A81376F8C8D7}"/>
                </c:ext>
              </c:extLst>
            </c:dLbl>
            <c:dLbl>
              <c:idx val="4"/>
              <c:layout>
                <c:manualLayout>
                  <c:x val="-2.5198532691425513E-2"/>
                  <c:y val="-2.566543708340398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136-FD4A-9A3A-02AD18B73D0D}"/>
                </c:ext>
              </c:extLst>
            </c:dLbl>
            <c:spPr>
              <a:noFill/>
              <a:ln>
                <a:noFill/>
              </a:ln>
              <a:effectLst/>
            </c:spPr>
            <c:txPr>
              <a:bodyPr rot="0" vert="horz"/>
              <a:lstStyle/>
              <a:p>
                <a:pPr>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RESULTS!$O$228:$O$232</c:f>
              <c:strCache>
                <c:ptCount val="5"/>
                <c:pt idx="0">
                  <c:v>Energy Converter/ Storage</c:v>
                </c:pt>
                <c:pt idx="1">
                  <c:v>AUV System</c:v>
                </c:pt>
                <c:pt idx="2">
                  <c:v>Balance of Systems</c:v>
                </c:pt>
                <c:pt idx="3">
                  <c:v>Financials</c:v>
                </c:pt>
                <c:pt idx="4">
                  <c:v>Installation (Averaged by Location)</c:v>
                </c:pt>
              </c:strCache>
            </c:strRef>
          </c:cat>
          <c:val>
            <c:numRef>
              <c:f>RESULTS!$R$228:$R$232</c:f>
              <c:numCache>
                <c:formatCode>"$"#,##0</c:formatCode>
                <c:ptCount val="5"/>
                <c:pt idx="0">
                  <c:v>113476</c:v>
                </c:pt>
                <c:pt idx="1">
                  <c:v>1267959</c:v>
                </c:pt>
                <c:pt idx="2">
                  <c:v>2882108</c:v>
                </c:pt>
                <c:pt idx="3">
                  <c:v>0</c:v>
                </c:pt>
                <c:pt idx="4">
                  <c:v>18075.94733333333</c:v>
                </c:pt>
              </c:numCache>
            </c:numRef>
          </c:val>
          <c:extLst>
            <c:ext xmlns:c16="http://schemas.microsoft.com/office/drawing/2014/chart" uri="{C3380CC4-5D6E-409C-BE32-E72D297353CC}">
              <c16:uniqueId val="{00000007-0B03-6044-81EF-A81376F8C8D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0272734690547112"/>
          <c:y val="0.22896896565005015"/>
          <c:w val="0.27635286198033537"/>
          <c:h val="0.68837547326839443"/>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1600">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MADWEC + Monitoring CapEx Breakdown</a:t>
            </a:r>
          </a:p>
        </c:rich>
      </c:tx>
      <c:layout>
        <c:manualLayout>
          <c:xMode val="edge"/>
          <c:yMode val="edge"/>
          <c:x val="0.18097378020053537"/>
          <c:y val="2.9215291904375888E-2"/>
        </c:manualLayout>
      </c:layout>
      <c:overlay val="0"/>
      <c:spPr>
        <a:noFill/>
        <a:ln>
          <a:noFill/>
        </a:ln>
        <a:effectLst/>
      </c:spPr>
    </c:title>
    <c:autoTitleDeleted val="0"/>
    <c:plotArea>
      <c:layout>
        <c:manualLayout>
          <c:layoutTarget val="inner"/>
          <c:xMode val="edge"/>
          <c:yMode val="edge"/>
          <c:x val="7.3565745991595613E-2"/>
          <c:y val="0.23585343863824876"/>
          <c:w val="0.5739641385500388"/>
          <c:h val="0.67647276617740748"/>
        </c:manualLayout>
      </c:layout>
      <c:pieChart>
        <c:varyColors val="1"/>
        <c:ser>
          <c:idx val="0"/>
          <c:order val="0"/>
          <c:tx>
            <c:strRef>
              <c:f>RESULTS!$P$252</c:f>
              <c:strCache>
                <c:ptCount val="1"/>
                <c:pt idx="0">
                  <c:v>MADWEC</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91B6-D840-B536-79F4F9779E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1B6-D840-B536-79F4F9779E08}"/>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91B6-D840-B536-79F4F9779E08}"/>
              </c:ext>
            </c:extLst>
          </c:dPt>
          <c:dPt>
            <c:idx val="4"/>
            <c:bubble3D val="0"/>
            <c:spPr>
              <a:solidFill>
                <a:srgbClr val="002060"/>
              </a:solidFill>
            </c:spPr>
            <c:extLst>
              <c:ext xmlns:c16="http://schemas.microsoft.com/office/drawing/2014/chart" uri="{C3380CC4-5D6E-409C-BE32-E72D297353CC}">
                <c16:uniqueId val="{00000006-B23A-DC4E-B3AE-14D2F4B74B1B}"/>
              </c:ext>
            </c:extLst>
          </c:dPt>
          <c:dLbls>
            <c:dLbl>
              <c:idx val="0"/>
              <c:layout>
                <c:manualLayout>
                  <c:x val="3.6334783155865691E-2"/>
                  <c:y val="-3.6707473133322018E-2"/>
                </c:manualLayout>
              </c:layout>
              <c:spPr>
                <a:noFill/>
                <a:ln>
                  <a:noFill/>
                </a:ln>
                <a:effectLst/>
              </c:spPr>
              <c:txPr>
                <a:bodyPr rot="0" vert="horz"/>
                <a:lstStyle/>
                <a:p>
                  <a:pPr>
                    <a:defRPr>
                      <a:solidFill>
                        <a:schemeClr val="accent5"/>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B6-D840-B536-79F4F9779E08}"/>
                </c:ext>
              </c:extLst>
            </c:dLbl>
            <c:dLbl>
              <c:idx val="1"/>
              <c:layout>
                <c:manualLayout>
                  <c:x val="5.2793184913251089E-3"/>
                  <c:y val="-1.0166551566731852E-2"/>
                </c:manualLayout>
              </c:layout>
              <c:spPr>
                <a:noFill/>
                <a:ln>
                  <a:noFill/>
                </a:ln>
                <a:effectLst/>
              </c:spPr>
              <c:txPr>
                <a:bodyPr rot="0" vert="horz"/>
                <a:lstStyle/>
                <a:p>
                  <a:pPr>
                    <a:defRPr>
                      <a:solidFill>
                        <a:schemeClr val="accent2"/>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B6-D840-B536-79F4F9779E08}"/>
                </c:ext>
              </c:extLst>
            </c:dLbl>
            <c:dLbl>
              <c:idx val="2"/>
              <c:layout>
                <c:manualLayout>
                  <c:x val="-1.0468803236470455E-2"/>
                  <c:y val="5.0294317479987471E-3"/>
                </c:manualLayout>
              </c:layout>
              <c:spPr>
                <a:noFill/>
                <a:ln>
                  <a:noFill/>
                </a:ln>
                <a:effectLst/>
              </c:spPr>
              <c:txPr>
                <a:bodyPr rot="0" vert="horz"/>
                <a:lstStyle/>
                <a:p>
                  <a:pPr>
                    <a:defRPr>
                      <a:solidFill>
                        <a:schemeClr val="accent6"/>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B6-D840-B536-79F4F9779E08}"/>
                </c:ext>
              </c:extLst>
            </c:dLbl>
            <c:dLbl>
              <c:idx val="3"/>
              <c:layout>
                <c:manualLayout>
                  <c:x val="-0.13212437928366433"/>
                  <c:y val="2.6288340872429546E-3"/>
                </c:manualLayout>
              </c:layout>
              <c:spPr>
                <a:noFill/>
                <a:ln>
                  <a:noFill/>
                </a:ln>
                <a:effectLst/>
              </c:spPr>
              <c:txPr>
                <a:bodyPr rot="0" vert="horz"/>
                <a:lstStyle/>
                <a:p>
                  <a:pPr>
                    <a:defRPr>
                      <a:solidFill>
                        <a:schemeClr val="accent4"/>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B6-D840-B536-79F4F9779E08}"/>
                </c:ext>
              </c:extLst>
            </c:dLbl>
            <c:dLbl>
              <c:idx val="4"/>
              <c:layout>
                <c:manualLayout>
                  <c:x val="-3.6383690366200414E-2"/>
                  <c:y val="-3.79899582868263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23A-DC4E-B3AE-14D2F4B74B1B}"/>
                </c:ext>
              </c:extLst>
            </c:dLbl>
            <c:spPr>
              <a:noFill/>
              <a:ln>
                <a:noFill/>
              </a:ln>
              <a:effectLst/>
            </c:spPr>
            <c:txPr>
              <a:bodyPr rot="0" vert="horz"/>
              <a:lstStyle/>
              <a:p>
                <a:pPr>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RESULTS!$O$253:$O$257</c:f>
              <c:strCache>
                <c:ptCount val="5"/>
                <c:pt idx="0">
                  <c:v>Energy Converter/ Storage</c:v>
                </c:pt>
                <c:pt idx="1">
                  <c:v>Monitoring System</c:v>
                </c:pt>
                <c:pt idx="2">
                  <c:v>Balance of System</c:v>
                </c:pt>
                <c:pt idx="3">
                  <c:v>Financials</c:v>
                </c:pt>
                <c:pt idx="4">
                  <c:v>Installation (Averaged by Location)</c:v>
                </c:pt>
              </c:strCache>
            </c:strRef>
          </c:cat>
          <c:val>
            <c:numRef>
              <c:f>RESULTS!$P$253:$P$257</c:f>
              <c:numCache>
                <c:formatCode>"$"#,##0</c:formatCode>
                <c:ptCount val="5"/>
                <c:pt idx="0">
                  <c:v>37946.61</c:v>
                </c:pt>
                <c:pt idx="1">
                  <c:v>465115</c:v>
                </c:pt>
                <c:pt idx="2">
                  <c:v>2880480</c:v>
                </c:pt>
                <c:pt idx="3">
                  <c:v>0</c:v>
                </c:pt>
                <c:pt idx="4">
                  <c:v>27163.611055555553</c:v>
                </c:pt>
              </c:numCache>
            </c:numRef>
          </c:val>
          <c:extLst>
            <c:ext xmlns:c16="http://schemas.microsoft.com/office/drawing/2014/chart" uri="{C3380CC4-5D6E-409C-BE32-E72D297353CC}">
              <c16:uniqueId val="{00000007-91B6-D840-B536-79F4F9779E0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0272734690547112"/>
          <c:y val="0.22896896565005015"/>
          <c:w val="0.27635286198033537"/>
          <c:h val="0.68837547326839443"/>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Solar Buoy + Monitoring CapEx Breakdown</a:t>
            </a:r>
          </a:p>
        </c:rich>
      </c:tx>
      <c:layout>
        <c:manualLayout>
          <c:xMode val="edge"/>
          <c:yMode val="edge"/>
          <c:x val="0.14465677554914438"/>
          <c:y val="3.1794041261162725E-2"/>
        </c:manualLayout>
      </c:layout>
      <c:overlay val="0"/>
      <c:spPr>
        <a:noFill/>
        <a:ln>
          <a:noFill/>
        </a:ln>
        <a:effectLst/>
      </c:spPr>
    </c:title>
    <c:autoTitleDeleted val="0"/>
    <c:plotArea>
      <c:layout>
        <c:manualLayout>
          <c:layoutTarget val="inner"/>
          <c:xMode val="edge"/>
          <c:yMode val="edge"/>
          <c:x val="7.3565745991595613E-2"/>
          <c:y val="0.26443378310844573"/>
          <c:w val="0.5739641385500388"/>
          <c:h val="0.62495130212671446"/>
        </c:manualLayout>
      </c:layout>
      <c:pieChart>
        <c:varyColors val="1"/>
        <c:ser>
          <c:idx val="0"/>
          <c:order val="0"/>
          <c:tx>
            <c:strRef>
              <c:f>RESULTS!$Q$252</c:f>
              <c:strCache>
                <c:ptCount val="1"/>
                <c:pt idx="0">
                  <c:v>Solar Buoy</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67DD-1240-8A90-C8ED2C1851B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DD-1240-8A90-C8ED2C1851BA}"/>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67DD-1240-8A90-C8ED2C1851BA}"/>
              </c:ext>
            </c:extLst>
          </c:dPt>
          <c:dPt>
            <c:idx val="4"/>
            <c:bubble3D val="0"/>
            <c:spPr>
              <a:solidFill>
                <a:srgbClr val="002060"/>
              </a:solidFill>
            </c:spPr>
            <c:extLst>
              <c:ext xmlns:c16="http://schemas.microsoft.com/office/drawing/2014/chart" uri="{C3380CC4-5D6E-409C-BE32-E72D297353CC}">
                <c16:uniqueId val="{00000006-E555-A240-901F-B2ED62439A3B}"/>
              </c:ext>
            </c:extLst>
          </c:dPt>
          <c:dLbls>
            <c:dLbl>
              <c:idx val="0"/>
              <c:layout>
                <c:manualLayout>
                  <c:x val="3.8893030072071566E-2"/>
                  <c:y val="-3.4174890399469561E-2"/>
                </c:manualLayout>
              </c:layout>
              <c:spPr>
                <a:noFill/>
                <a:ln>
                  <a:noFill/>
                </a:ln>
                <a:effectLst/>
              </c:spPr>
              <c:txPr>
                <a:bodyPr rot="0" vert="horz"/>
                <a:lstStyle/>
                <a:p>
                  <a:pPr>
                    <a:defRPr>
                      <a:solidFill>
                        <a:schemeClr val="accent5"/>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7DD-1240-8A90-C8ED2C1851BA}"/>
                </c:ext>
              </c:extLst>
            </c:dLbl>
            <c:dLbl>
              <c:idx val="1"/>
              <c:layout>
                <c:manualLayout>
                  <c:x val="-5.1521130690771414E-3"/>
                  <c:y val="-2.5685492536647999E-3"/>
                </c:manualLayout>
              </c:layout>
              <c:spPr>
                <a:noFill/>
                <a:ln>
                  <a:noFill/>
                </a:ln>
                <a:effectLst/>
              </c:spPr>
              <c:txPr>
                <a:bodyPr rot="0" vert="horz"/>
                <a:lstStyle/>
                <a:p>
                  <a:pPr>
                    <a:defRPr>
                      <a:solidFill>
                        <a:schemeClr val="accent2"/>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DD-1240-8A90-C8ED2C1851BA}"/>
                </c:ext>
              </c:extLst>
            </c:dLbl>
            <c:dLbl>
              <c:idx val="2"/>
              <c:layout>
                <c:manualLayout>
                  <c:x val="-1.5599130017876429E-2"/>
                  <c:y val="1.2608517521246214E-2"/>
                </c:manualLayout>
              </c:layout>
              <c:spPr>
                <a:noFill/>
                <a:ln>
                  <a:noFill/>
                </a:ln>
                <a:effectLst/>
              </c:spPr>
              <c:txPr>
                <a:bodyPr rot="0" vert="horz"/>
                <a:lstStyle/>
                <a:p>
                  <a:pPr>
                    <a:defRPr>
                      <a:solidFill>
                        <a:schemeClr val="accent6"/>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7DD-1240-8A90-C8ED2C1851BA}"/>
                </c:ext>
              </c:extLst>
            </c:dLbl>
            <c:dLbl>
              <c:idx val="3"/>
              <c:layout>
                <c:manualLayout>
                  <c:x val="-0.13212437928366433"/>
                  <c:y val="2.6288340872429546E-3"/>
                </c:manualLayout>
              </c:layout>
              <c:spPr>
                <a:noFill/>
                <a:ln>
                  <a:noFill/>
                </a:ln>
                <a:effectLst/>
              </c:spPr>
              <c:txPr>
                <a:bodyPr rot="0" vert="horz"/>
                <a:lstStyle/>
                <a:p>
                  <a:pPr>
                    <a:defRPr>
                      <a:solidFill>
                        <a:schemeClr val="accent4"/>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7DD-1240-8A90-C8ED2C1851BA}"/>
                </c:ext>
              </c:extLst>
            </c:dLbl>
            <c:dLbl>
              <c:idx val="4"/>
              <c:layout>
                <c:manualLayout>
                  <c:x val="-1.297169739052347E-2"/>
                  <c:y val="-3.541315580812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555-A240-901F-B2ED62439A3B}"/>
                </c:ext>
              </c:extLst>
            </c:dLbl>
            <c:spPr>
              <a:noFill/>
              <a:ln>
                <a:noFill/>
              </a:ln>
              <a:effectLst/>
            </c:spPr>
            <c:txPr>
              <a:bodyPr rot="0" vert="horz"/>
              <a:lstStyle/>
              <a:p>
                <a:pPr>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RESULTS!$O$253:$O$257</c:f>
              <c:strCache>
                <c:ptCount val="5"/>
                <c:pt idx="0">
                  <c:v>Energy Converter/ Storage</c:v>
                </c:pt>
                <c:pt idx="1">
                  <c:v>Monitoring System</c:v>
                </c:pt>
                <c:pt idx="2">
                  <c:v>Balance of System</c:v>
                </c:pt>
                <c:pt idx="3">
                  <c:v>Financials</c:v>
                </c:pt>
                <c:pt idx="4">
                  <c:v>Installation (Averaged by Location)</c:v>
                </c:pt>
              </c:strCache>
            </c:strRef>
          </c:cat>
          <c:val>
            <c:numRef>
              <c:f>RESULTS!$Q$253:$Q$257</c:f>
              <c:numCache>
                <c:formatCode>"$"#,##0</c:formatCode>
                <c:ptCount val="5"/>
                <c:pt idx="0">
                  <c:v>120621</c:v>
                </c:pt>
                <c:pt idx="1">
                  <c:v>465115</c:v>
                </c:pt>
                <c:pt idx="2">
                  <c:v>2882108</c:v>
                </c:pt>
                <c:pt idx="3">
                  <c:v>0</c:v>
                </c:pt>
                <c:pt idx="4">
                  <c:v>26801.230944444444</c:v>
                </c:pt>
              </c:numCache>
            </c:numRef>
          </c:val>
          <c:extLst>
            <c:ext xmlns:c16="http://schemas.microsoft.com/office/drawing/2014/chart" uri="{C3380CC4-5D6E-409C-BE32-E72D297353CC}">
              <c16:uniqueId val="{00000007-67DD-1240-8A90-C8ED2C1851B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0272734690547112"/>
          <c:y val="0.22896896565005015"/>
          <c:w val="0.27635286198033537"/>
          <c:h val="0.68837547326839443"/>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Batteries + Monitoring CapEx Breakdown</a:t>
            </a:r>
          </a:p>
        </c:rich>
      </c:tx>
      <c:layout>
        <c:manualLayout>
          <c:xMode val="edge"/>
          <c:yMode val="edge"/>
          <c:x val="0.20778663784361584"/>
          <c:y val="3.1794041261162725E-2"/>
        </c:manualLayout>
      </c:layout>
      <c:overlay val="0"/>
      <c:spPr>
        <a:noFill/>
        <a:ln>
          <a:noFill/>
        </a:ln>
        <a:effectLst/>
      </c:spPr>
    </c:title>
    <c:autoTitleDeleted val="0"/>
    <c:plotArea>
      <c:layout>
        <c:manualLayout>
          <c:layoutTarget val="inner"/>
          <c:xMode val="edge"/>
          <c:yMode val="edge"/>
          <c:x val="7.3565745991595613E-2"/>
          <c:y val="0.26443378310844573"/>
          <c:w val="0.5739641385500388"/>
          <c:h val="0.62495130212671446"/>
        </c:manualLayout>
      </c:layout>
      <c:pieChart>
        <c:varyColors val="1"/>
        <c:ser>
          <c:idx val="0"/>
          <c:order val="0"/>
          <c:tx>
            <c:strRef>
              <c:f>RESULTS!$R$252</c:f>
              <c:strCache>
                <c:ptCount val="1"/>
                <c:pt idx="0">
                  <c:v>Battery System</c:v>
                </c:pt>
              </c:strCache>
            </c:strRef>
          </c:tx>
          <c:dPt>
            <c:idx val="0"/>
            <c:bubble3D val="0"/>
            <c:spPr>
              <a:solidFill>
                <a:schemeClr val="accent5"/>
              </a:solidFill>
              <a:ln w="19050">
                <a:solidFill>
                  <a:schemeClr val="lt1"/>
                </a:solidFill>
              </a:ln>
              <a:effectLst/>
            </c:spPr>
            <c:extLst>
              <c:ext xmlns:c16="http://schemas.microsoft.com/office/drawing/2014/chart" uri="{C3380CC4-5D6E-409C-BE32-E72D297353CC}">
                <c16:uniqueId val="{00000001-416F-F746-9046-0BC400B7A94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16F-F746-9046-0BC400B7A943}"/>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416F-F746-9046-0BC400B7A943}"/>
              </c:ext>
            </c:extLst>
          </c:dPt>
          <c:dPt>
            <c:idx val="4"/>
            <c:bubble3D val="0"/>
            <c:spPr>
              <a:solidFill>
                <a:srgbClr val="002060"/>
              </a:solidFill>
            </c:spPr>
            <c:extLst>
              <c:ext xmlns:c16="http://schemas.microsoft.com/office/drawing/2014/chart" uri="{C3380CC4-5D6E-409C-BE32-E72D297353CC}">
                <c16:uniqueId val="{00000006-A4E8-6D46-890A-C48E9641D686}"/>
              </c:ext>
            </c:extLst>
          </c:dPt>
          <c:dLbls>
            <c:dLbl>
              <c:idx val="0"/>
              <c:layout>
                <c:manualLayout>
                  <c:x val="3.0663241253529733E-2"/>
                  <c:y val="-3.4174890399469582E-2"/>
                </c:manualLayout>
              </c:layout>
              <c:spPr>
                <a:noFill/>
                <a:ln>
                  <a:noFill/>
                </a:ln>
                <a:effectLst/>
              </c:spPr>
              <c:txPr>
                <a:bodyPr rot="0" vert="horz"/>
                <a:lstStyle/>
                <a:p>
                  <a:pPr>
                    <a:defRPr>
                      <a:solidFill>
                        <a:schemeClr val="accent5"/>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16F-F746-9046-0BC400B7A943}"/>
                </c:ext>
              </c:extLst>
            </c:dLbl>
            <c:dLbl>
              <c:idx val="1"/>
              <c:layout>
                <c:manualLayout>
                  <c:x val="1.6930834591275833E-2"/>
                  <c:y val="-2.0275127157727765E-2"/>
                </c:manualLayout>
              </c:layout>
              <c:spPr>
                <a:noFill/>
                <a:ln>
                  <a:noFill/>
                </a:ln>
                <a:effectLst/>
              </c:spPr>
              <c:txPr>
                <a:bodyPr rot="0" vert="horz"/>
                <a:lstStyle/>
                <a:p>
                  <a:pPr>
                    <a:defRPr>
                      <a:solidFill>
                        <a:schemeClr val="accent2"/>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16F-F746-9046-0BC400B7A943}"/>
                </c:ext>
              </c:extLst>
            </c:dLbl>
            <c:dLbl>
              <c:idx val="2"/>
              <c:layout>
                <c:manualLayout>
                  <c:x val="-1.9521521531054908E-2"/>
                  <c:y val="-2.5685492536647535E-3"/>
                </c:manualLayout>
              </c:layout>
              <c:spPr>
                <a:noFill/>
                <a:ln>
                  <a:noFill/>
                </a:ln>
                <a:effectLst/>
              </c:spPr>
              <c:txPr>
                <a:bodyPr rot="0" vert="horz"/>
                <a:lstStyle/>
                <a:p>
                  <a:pPr>
                    <a:defRPr>
                      <a:solidFill>
                        <a:schemeClr val="accent6"/>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16F-F746-9046-0BC400B7A943}"/>
                </c:ext>
              </c:extLst>
            </c:dLbl>
            <c:dLbl>
              <c:idx val="3"/>
              <c:layout>
                <c:manualLayout>
                  <c:x val="-0.13212437928366433"/>
                  <c:y val="2.6288340872429546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16F-F746-9046-0BC400B7A943}"/>
                </c:ext>
              </c:extLst>
            </c:dLbl>
            <c:dLbl>
              <c:idx val="4"/>
              <c:layout>
                <c:manualLayout>
                  <c:x val="-3.7797799037138272E-2"/>
                  <c:y val="-3.0354133549822308E-2"/>
                </c:manualLayout>
              </c:layout>
              <c:spPr>
                <a:noFill/>
                <a:ln>
                  <a:noFill/>
                </a:ln>
                <a:effectLst/>
              </c:spPr>
              <c:txPr>
                <a:bodyPr rot="0" vert="horz"/>
                <a:lstStyle/>
                <a:p>
                  <a:pPr>
                    <a:defRPr>
                      <a:solidFill>
                        <a:srgbClr val="1F3764"/>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4E8-6D46-890A-C48E9641D686}"/>
                </c:ext>
              </c:extLst>
            </c:dLbl>
            <c:spPr>
              <a:noFill/>
              <a:ln>
                <a:noFill/>
              </a:ln>
              <a:effectLst/>
            </c:spPr>
            <c:txPr>
              <a:bodyPr rot="0" vert="horz"/>
              <a:lstStyle/>
              <a:p>
                <a:pPr>
                  <a:defRPr>
                    <a:solidFill>
                      <a:schemeClr val="accent4"/>
                    </a:solidFill>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RESULTS!$O$253:$O$257</c:f>
              <c:strCache>
                <c:ptCount val="5"/>
                <c:pt idx="0">
                  <c:v>Energy Converter/ Storage</c:v>
                </c:pt>
                <c:pt idx="1">
                  <c:v>Monitoring System</c:v>
                </c:pt>
                <c:pt idx="2">
                  <c:v>Balance of System</c:v>
                </c:pt>
                <c:pt idx="3">
                  <c:v>Financials</c:v>
                </c:pt>
                <c:pt idx="4">
                  <c:v>Installation (Averaged by Location)</c:v>
                </c:pt>
              </c:strCache>
            </c:strRef>
          </c:cat>
          <c:val>
            <c:numRef>
              <c:f>RESULTS!$R$253:$R$257</c:f>
              <c:numCache>
                <c:formatCode>"$"#,##0</c:formatCode>
                <c:ptCount val="5"/>
                <c:pt idx="0">
                  <c:v>72676</c:v>
                </c:pt>
                <c:pt idx="1">
                  <c:v>465115</c:v>
                </c:pt>
                <c:pt idx="2">
                  <c:v>2882108</c:v>
                </c:pt>
                <c:pt idx="3">
                  <c:v>0</c:v>
                </c:pt>
                <c:pt idx="4">
                  <c:v>18075.94733333333</c:v>
                </c:pt>
              </c:numCache>
            </c:numRef>
          </c:val>
          <c:extLst>
            <c:ext xmlns:c16="http://schemas.microsoft.com/office/drawing/2014/chart" uri="{C3380CC4-5D6E-409C-BE32-E72D297353CC}">
              <c16:uniqueId val="{00000007-416F-F746-9046-0BC400B7A94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0272734690547112"/>
          <c:y val="0.22896896565005015"/>
          <c:w val="0.27635286198033537"/>
          <c:h val="0.68837547326839443"/>
        </c:manualLayout>
      </c:layout>
      <c:overlay val="0"/>
      <c:spPr>
        <a:noFill/>
        <a:ln>
          <a:noFill/>
        </a:ln>
        <a:effectLst/>
      </c:spPr>
      <c:txPr>
        <a:bodyPr rot="0" vert="horz"/>
        <a:lstStyle/>
        <a:p>
          <a:pPr>
            <a:defRPr/>
          </a:pPr>
          <a:endParaRPr lang="en-US"/>
        </a:p>
      </c:txPr>
    </c:legend>
    <c:plotVisOnly val="1"/>
    <c:dispBlanksAs val="gap"/>
    <c:showDLblsOverMax val="0"/>
    <c:extLst/>
  </c:chart>
  <c:txPr>
    <a:bodyPr/>
    <a:lstStyle/>
    <a:p>
      <a:pPr>
        <a:defRPr sz="160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b="1"/>
              <a:t>No. of Devices Required for 100% Energy Requirement Fulfillment</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40882866320292E-2"/>
          <c:y val="8.1288521158540419E-2"/>
          <c:w val="0.78875404634413215"/>
          <c:h val="0.78524863117878307"/>
        </c:manualLayout>
      </c:layout>
      <c:barChart>
        <c:barDir val="col"/>
        <c:grouping val="clustered"/>
        <c:varyColors val="0"/>
        <c:ser>
          <c:idx val="0"/>
          <c:order val="0"/>
          <c:tx>
            <c:strRef>
              <c:f>RESULTS!$M$115</c:f>
              <c:strCache>
                <c:ptCount val="1"/>
                <c:pt idx="0">
                  <c:v>MADWEC + 
AUV</c:v>
                </c:pt>
              </c:strCache>
            </c:strRef>
          </c:tx>
          <c:spPr>
            <a:solidFill>
              <a:schemeClr val="accent5">
                <a:lumMod val="40000"/>
                <a:lumOff val="60000"/>
              </a:schemeClr>
            </a:solidFill>
            <a:ln>
              <a:solidFill>
                <a:schemeClr val="accent5">
                  <a:lumMod val="60000"/>
                  <a:lumOff val="40000"/>
                </a:schemeClr>
              </a:solidFill>
            </a:ln>
            <a:effectLst/>
          </c:spPr>
          <c:invertIfNegative val="0"/>
          <c:cat>
            <c:strRef>
              <c:f>RESULTS!$N$114:$P$114</c:f>
              <c:strCache>
                <c:ptCount val="3"/>
                <c:pt idx="0">
                  <c:v>Nearshore 
(Mass. State Waters)</c:v>
                </c:pt>
                <c:pt idx="1">
                  <c:v>Far Offshore
 (Mass. Federal Waters)</c:v>
                </c:pt>
                <c:pt idx="2">
                  <c:v>High Latitude
 (Alaska State Waters)</c:v>
                </c:pt>
              </c:strCache>
            </c:strRef>
          </c:cat>
          <c:val>
            <c:numRef>
              <c:f>RESULTS!$N$115:$P$115</c:f>
              <c:numCache>
                <c:formatCode>General</c:formatCode>
                <c:ptCount val="3"/>
                <c:pt idx="0">
                  <c:v>777</c:v>
                </c:pt>
                <c:pt idx="1">
                  <c:v>329</c:v>
                </c:pt>
                <c:pt idx="2">
                  <c:v>534</c:v>
                </c:pt>
              </c:numCache>
            </c:numRef>
          </c:val>
          <c:extLst>
            <c:ext xmlns:c16="http://schemas.microsoft.com/office/drawing/2014/chart" uri="{C3380CC4-5D6E-409C-BE32-E72D297353CC}">
              <c16:uniqueId val="{00000000-C327-3941-A2E9-2BD87F20B9E2}"/>
            </c:ext>
          </c:extLst>
        </c:ser>
        <c:ser>
          <c:idx val="1"/>
          <c:order val="1"/>
          <c:tx>
            <c:strRef>
              <c:f>RESULTS!$M$116</c:f>
              <c:strCache>
                <c:ptCount val="1"/>
                <c:pt idx="0">
                  <c:v>MADWEC + 
Remote Monitoring</c:v>
                </c:pt>
              </c:strCache>
            </c:strRef>
          </c:tx>
          <c:spPr>
            <a:solidFill>
              <a:schemeClr val="accent5"/>
            </a:solidFill>
            <a:ln>
              <a:solidFill>
                <a:schemeClr val="accent5">
                  <a:lumMod val="75000"/>
                </a:schemeClr>
              </a:solidFill>
            </a:ln>
            <a:effectLst/>
          </c:spPr>
          <c:invertIfNegative val="0"/>
          <c:cat>
            <c:strRef>
              <c:f>RESULTS!$N$114:$P$114</c:f>
              <c:strCache>
                <c:ptCount val="3"/>
                <c:pt idx="0">
                  <c:v>Nearshore 
(Mass. State Waters)</c:v>
                </c:pt>
                <c:pt idx="1">
                  <c:v>Far Offshore
 (Mass. Federal Waters)</c:v>
                </c:pt>
                <c:pt idx="2">
                  <c:v>High Latitude
 (Alaska State Waters)</c:v>
                </c:pt>
              </c:strCache>
            </c:strRef>
          </c:cat>
          <c:val>
            <c:numRef>
              <c:f>RESULTS!$N$116:$P$116</c:f>
              <c:numCache>
                <c:formatCode>General</c:formatCode>
                <c:ptCount val="3"/>
                <c:pt idx="0">
                  <c:v>415</c:v>
                </c:pt>
                <c:pt idx="1">
                  <c:v>176</c:v>
                </c:pt>
                <c:pt idx="2">
                  <c:v>285</c:v>
                </c:pt>
              </c:numCache>
            </c:numRef>
          </c:val>
          <c:extLst>
            <c:ext xmlns:c16="http://schemas.microsoft.com/office/drawing/2014/chart" uri="{C3380CC4-5D6E-409C-BE32-E72D297353CC}">
              <c16:uniqueId val="{00000001-C327-3941-A2E9-2BD87F20B9E2}"/>
            </c:ext>
          </c:extLst>
        </c:ser>
        <c:ser>
          <c:idx val="2"/>
          <c:order val="2"/>
          <c:tx>
            <c:strRef>
              <c:f>RESULTS!$M$117</c:f>
              <c:strCache>
                <c:ptCount val="1"/>
                <c:pt idx="0">
                  <c:v>Solar Buoy + 
AUV</c:v>
                </c:pt>
              </c:strCache>
            </c:strRef>
          </c:tx>
          <c:spPr>
            <a:solidFill>
              <a:schemeClr val="accent6">
                <a:lumMod val="40000"/>
                <a:lumOff val="60000"/>
              </a:schemeClr>
            </a:solidFill>
            <a:ln>
              <a:solidFill>
                <a:schemeClr val="accent6">
                  <a:lumMod val="60000"/>
                  <a:lumOff val="40000"/>
                </a:schemeClr>
              </a:solidFill>
            </a:ln>
            <a:effectLst/>
          </c:spPr>
          <c:invertIfNegative val="0"/>
          <c:cat>
            <c:strRef>
              <c:f>RESULTS!$N$114:$P$114</c:f>
              <c:strCache>
                <c:ptCount val="3"/>
                <c:pt idx="0">
                  <c:v>Nearshore 
(Mass. State Waters)</c:v>
                </c:pt>
                <c:pt idx="1">
                  <c:v>Far Offshore
 (Mass. Federal Waters)</c:v>
                </c:pt>
                <c:pt idx="2">
                  <c:v>High Latitude
 (Alaska State Waters)</c:v>
                </c:pt>
              </c:strCache>
            </c:strRef>
          </c:cat>
          <c:val>
            <c:numRef>
              <c:f>RESULTS!$N$117:$P$117</c:f>
              <c:numCache>
                <c:formatCode>General</c:formatCode>
                <c:ptCount val="3"/>
                <c:pt idx="0" formatCode="0">
                  <c:v>8</c:v>
                </c:pt>
                <c:pt idx="1">
                  <c:v>8</c:v>
                </c:pt>
                <c:pt idx="2">
                  <c:v>12</c:v>
                </c:pt>
              </c:numCache>
            </c:numRef>
          </c:val>
          <c:extLst>
            <c:ext xmlns:c16="http://schemas.microsoft.com/office/drawing/2014/chart" uri="{C3380CC4-5D6E-409C-BE32-E72D297353CC}">
              <c16:uniqueId val="{00000002-C327-3941-A2E9-2BD87F20B9E2}"/>
            </c:ext>
          </c:extLst>
        </c:ser>
        <c:ser>
          <c:idx val="3"/>
          <c:order val="3"/>
          <c:tx>
            <c:strRef>
              <c:f>RESULTS!$M$118</c:f>
              <c:strCache>
                <c:ptCount val="1"/>
                <c:pt idx="0">
                  <c:v>Solar Buoy + 
Remote Monitoring</c:v>
                </c:pt>
              </c:strCache>
            </c:strRef>
          </c:tx>
          <c:spPr>
            <a:solidFill>
              <a:schemeClr val="accent6"/>
            </a:solidFill>
            <a:ln>
              <a:solidFill>
                <a:schemeClr val="accent6">
                  <a:lumMod val="60000"/>
                  <a:lumOff val="40000"/>
                </a:schemeClr>
              </a:solidFill>
            </a:ln>
            <a:effectLst/>
          </c:spPr>
          <c:invertIfNegative val="0"/>
          <c:cat>
            <c:strRef>
              <c:f>RESULTS!$N$114:$P$114</c:f>
              <c:strCache>
                <c:ptCount val="3"/>
                <c:pt idx="0">
                  <c:v>Nearshore 
(Mass. State Waters)</c:v>
                </c:pt>
                <c:pt idx="1">
                  <c:v>Far Offshore
 (Mass. Federal Waters)</c:v>
                </c:pt>
                <c:pt idx="2">
                  <c:v>High Latitude
 (Alaska State Waters)</c:v>
                </c:pt>
              </c:strCache>
            </c:strRef>
          </c:cat>
          <c:val>
            <c:numRef>
              <c:f>RESULTS!$N$118:$P$118</c:f>
              <c:numCache>
                <c:formatCode>General</c:formatCode>
                <c:ptCount val="3"/>
                <c:pt idx="0" formatCode="0">
                  <c:v>4</c:v>
                </c:pt>
                <c:pt idx="1">
                  <c:v>4</c:v>
                </c:pt>
                <c:pt idx="2">
                  <c:v>6</c:v>
                </c:pt>
              </c:numCache>
            </c:numRef>
          </c:val>
          <c:extLst>
            <c:ext xmlns:c16="http://schemas.microsoft.com/office/drawing/2014/chart" uri="{C3380CC4-5D6E-409C-BE32-E72D297353CC}">
              <c16:uniqueId val="{00000003-C327-3941-A2E9-2BD87F20B9E2}"/>
            </c:ext>
          </c:extLst>
        </c:ser>
        <c:ser>
          <c:idx val="4"/>
          <c:order val="4"/>
          <c:tx>
            <c:strRef>
              <c:f>RESULTS!$M$119</c:f>
              <c:strCache>
                <c:ptCount val="1"/>
                <c:pt idx="0">
                  <c:v>Batteries + 
AUV</c:v>
                </c:pt>
              </c:strCache>
            </c:strRef>
          </c:tx>
          <c:spPr>
            <a:solidFill>
              <a:schemeClr val="accent4">
                <a:lumMod val="20000"/>
                <a:lumOff val="80000"/>
              </a:schemeClr>
            </a:solidFill>
            <a:ln>
              <a:solidFill>
                <a:schemeClr val="accent4">
                  <a:lumMod val="60000"/>
                  <a:lumOff val="40000"/>
                </a:schemeClr>
              </a:solidFill>
            </a:ln>
            <a:effectLst/>
          </c:spPr>
          <c:invertIfNegative val="0"/>
          <c:cat>
            <c:strRef>
              <c:f>RESULTS!$N$114:$P$114</c:f>
              <c:strCache>
                <c:ptCount val="3"/>
                <c:pt idx="0">
                  <c:v>Nearshore 
(Mass. State Waters)</c:v>
                </c:pt>
                <c:pt idx="1">
                  <c:v>Far Offshore
 (Mass. Federal Waters)</c:v>
                </c:pt>
                <c:pt idx="2">
                  <c:v>High Latitude
 (Alaska State Waters)</c:v>
                </c:pt>
              </c:strCache>
            </c:strRef>
          </c:cat>
          <c:val>
            <c:numRef>
              <c:f>RESULTS!$N$119:$P$119</c:f>
              <c:numCache>
                <c:formatCode>General</c:formatCode>
                <c:ptCount val="3"/>
                <c:pt idx="0">
                  <c:v>54</c:v>
                </c:pt>
                <c:pt idx="1">
                  <c:v>54</c:v>
                </c:pt>
                <c:pt idx="2">
                  <c:v>54</c:v>
                </c:pt>
              </c:numCache>
            </c:numRef>
          </c:val>
          <c:extLst>
            <c:ext xmlns:c16="http://schemas.microsoft.com/office/drawing/2014/chart" uri="{C3380CC4-5D6E-409C-BE32-E72D297353CC}">
              <c16:uniqueId val="{00000004-C327-3941-A2E9-2BD87F20B9E2}"/>
            </c:ext>
          </c:extLst>
        </c:ser>
        <c:ser>
          <c:idx val="5"/>
          <c:order val="5"/>
          <c:tx>
            <c:strRef>
              <c:f>RESULTS!$M$120</c:f>
              <c:strCache>
                <c:ptCount val="1"/>
                <c:pt idx="0">
                  <c:v>Batteries + 
Remote Monitoring</c:v>
                </c:pt>
              </c:strCache>
            </c:strRef>
          </c:tx>
          <c:spPr>
            <a:solidFill>
              <a:schemeClr val="accent4"/>
            </a:solidFill>
            <a:ln>
              <a:solidFill>
                <a:schemeClr val="accent4">
                  <a:lumMod val="75000"/>
                </a:schemeClr>
              </a:solidFill>
            </a:ln>
            <a:effectLst/>
          </c:spPr>
          <c:invertIfNegative val="0"/>
          <c:cat>
            <c:strRef>
              <c:f>RESULTS!$N$114:$P$114</c:f>
              <c:strCache>
                <c:ptCount val="3"/>
                <c:pt idx="0">
                  <c:v>Nearshore 
(Mass. State Waters)</c:v>
                </c:pt>
                <c:pt idx="1">
                  <c:v>Far Offshore
 (Mass. Federal Waters)</c:v>
                </c:pt>
                <c:pt idx="2">
                  <c:v>High Latitude
 (Alaska State Waters)</c:v>
                </c:pt>
              </c:strCache>
            </c:strRef>
          </c:cat>
          <c:val>
            <c:numRef>
              <c:f>RESULTS!$N$120:$P$120</c:f>
              <c:numCache>
                <c:formatCode>General</c:formatCode>
                <c:ptCount val="3"/>
                <c:pt idx="0">
                  <c:v>30</c:v>
                </c:pt>
                <c:pt idx="1">
                  <c:v>30</c:v>
                </c:pt>
                <c:pt idx="2">
                  <c:v>30</c:v>
                </c:pt>
              </c:numCache>
            </c:numRef>
          </c:val>
          <c:extLst>
            <c:ext xmlns:c16="http://schemas.microsoft.com/office/drawing/2014/chart" uri="{C3380CC4-5D6E-409C-BE32-E72D297353CC}">
              <c16:uniqueId val="{00000005-C327-3941-A2E9-2BD87F20B9E2}"/>
            </c:ext>
          </c:extLst>
        </c:ser>
        <c:dLbls>
          <c:showLegendKey val="0"/>
          <c:showVal val="0"/>
          <c:showCatName val="0"/>
          <c:showSerName val="0"/>
          <c:showPercent val="0"/>
          <c:showBubbleSize val="0"/>
        </c:dLbls>
        <c:gapWidth val="219"/>
        <c:overlap val="-27"/>
        <c:axId val="1517356192"/>
        <c:axId val="335293760"/>
      </c:barChart>
      <c:catAx>
        <c:axId val="151735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335293760"/>
        <c:crosses val="autoZero"/>
        <c:auto val="1"/>
        <c:lblAlgn val="ctr"/>
        <c:lblOffset val="100"/>
        <c:noMultiLvlLbl val="0"/>
      </c:catAx>
      <c:valAx>
        <c:axId val="335293760"/>
        <c:scaling>
          <c:orientation val="minMax"/>
          <c:max val="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517356192"/>
        <c:crosses val="autoZero"/>
        <c:crossBetween val="between"/>
      </c:valAx>
      <c:spPr>
        <a:noFill/>
        <a:ln>
          <a:noFill/>
        </a:ln>
        <a:effectLst/>
      </c:spPr>
    </c:plotArea>
    <c:legend>
      <c:legendPos val="r"/>
      <c:layout>
        <c:manualLayout>
          <c:xMode val="edge"/>
          <c:yMode val="edge"/>
          <c:x val="0.86705326312931308"/>
          <c:y val="6.8127226244370981E-2"/>
          <c:w val="0.1318532491657011"/>
          <c:h val="0.8272609375575235"/>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6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b="1"/>
              <a:t>Total CapEx (</a:t>
            </a:r>
            <a:r>
              <a:rPr lang="en-US" b="1" i="1"/>
              <a:t>Array</a:t>
            </a:r>
            <a:r>
              <a:rPr lang="en-US" b="1"/>
              <a:t>)</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46278549007868"/>
          <c:y val="8.1288521158540419E-2"/>
          <c:w val="0.75343937542630313"/>
          <c:h val="0.77102293382036513"/>
        </c:manualLayout>
      </c:layout>
      <c:barChart>
        <c:barDir val="col"/>
        <c:grouping val="clustered"/>
        <c:varyColors val="0"/>
        <c:ser>
          <c:idx val="0"/>
          <c:order val="0"/>
          <c:tx>
            <c:strRef>
              <c:f>RESULTS!$M$136</c:f>
              <c:strCache>
                <c:ptCount val="1"/>
                <c:pt idx="0">
                  <c:v>MADWEC + 
AUV</c:v>
                </c:pt>
              </c:strCache>
            </c:strRef>
          </c:tx>
          <c:spPr>
            <a:solidFill>
              <a:schemeClr val="accent5">
                <a:lumMod val="40000"/>
                <a:lumOff val="60000"/>
              </a:schemeClr>
            </a:solidFill>
            <a:ln>
              <a:solidFill>
                <a:schemeClr val="accent5">
                  <a:lumMod val="60000"/>
                  <a:lumOff val="40000"/>
                </a:schemeClr>
              </a:solidFill>
            </a:ln>
            <a:effectLst/>
          </c:spPr>
          <c:invertIfNegative val="0"/>
          <c:cat>
            <c:strRef>
              <c:f>RESULTS!$N$135:$P$135</c:f>
              <c:strCache>
                <c:ptCount val="3"/>
                <c:pt idx="0">
                  <c:v>Nearshore 
(Mass. State Waters)</c:v>
                </c:pt>
                <c:pt idx="1">
                  <c:v>Far Offshore
 (Mass. Federal Waters)</c:v>
                </c:pt>
                <c:pt idx="2">
                  <c:v>High Latitude
 (Alaska State Waters)</c:v>
                </c:pt>
              </c:strCache>
            </c:strRef>
          </c:cat>
          <c:val>
            <c:numRef>
              <c:f>RESULTS!$N$136:$P$136</c:f>
              <c:numCache>
                <c:formatCode>"$"#,##0</c:formatCode>
                <c:ptCount val="3"/>
                <c:pt idx="0">
                  <c:v>21525503.926937982</c:v>
                </c:pt>
                <c:pt idx="1">
                  <c:v>12438163.196566915</c:v>
                </c:pt>
                <c:pt idx="2">
                  <c:v>18609926.414852142</c:v>
                </c:pt>
              </c:numCache>
            </c:numRef>
          </c:val>
          <c:extLst>
            <c:ext xmlns:c16="http://schemas.microsoft.com/office/drawing/2014/chart" uri="{C3380CC4-5D6E-409C-BE32-E72D297353CC}">
              <c16:uniqueId val="{00000000-B94F-7B45-B136-19CAFC854E5A}"/>
            </c:ext>
          </c:extLst>
        </c:ser>
        <c:ser>
          <c:idx val="1"/>
          <c:order val="1"/>
          <c:tx>
            <c:strRef>
              <c:f>RESULTS!$M$137</c:f>
              <c:strCache>
                <c:ptCount val="1"/>
                <c:pt idx="0">
                  <c:v>MADWEC + 
Remote Monitoring</c:v>
                </c:pt>
              </c:strCache>
            </c:strRef>
          </c:tx>
          <c:spPr>
            <a:solidFill>
              <a:schemeClr val="accent5"/>
            </a:solidFill>
            <a:ln>
              <a:solidFill>
                <a:schemeClr val="accent5">
                  <a:lumMod val="75000"/>
                </a:schemeClr>
              </a:solidFill>
            </a:ln>
            <a:effectLst/>
          </c:spPr>
          <c:invertIfNegative val="0"/>
          <c:cat>
            <c:strRef>
              <c:f>RESULTS!$N$135:$P$135</c:f>
              <c:strCache>
                <c:ptCount val="3"/>
                <c:pt idx="0">
                  <c:v>Nearshore 
(Mass. State Waters)</c:v>
                </c:pt>
                <c:pt idx="1">
                  <c:v>Far Offshore
 (Mass. Federal Waters)</c:v>
                </c:pt>
                <c:pt idx="2">
                  <c:v>High Latitude
 (Alaska State Waters)</c:v>
                </c:pt>
              </c:strCache>
            </c:strRef>
          </c:cat>
          <c:val>
            <c:numRef>
              <c:f>RESULTS!$N$137:$P$137</c:f>
              <c:numCache>
                <c:formatCode>"$"#,##0</c:formatCode>
                <c:ptCount val="3"/>
                <c:pt idx="0">
                  <c:v>13722758.614670688</c:v>
                </c:pt>
                <c:pt idx="1">
                  <c:v>8460813.8021686543</c:v>
                </c:pt>
                <c:pt idx="2">
                  <c:v>12063694.356923785</c:v>
                </c:pt>
              </c:numCache>
            </c:numRef>
          </c:val>
          <c:extLst>
            <c:ext xmlns:c16="http://schemas.microsoft.com/office/drawing/2014/chart" uri="{C3380CC4-5D6E-409C-BE32-E72D297353CC}">
              <c16:uniqueId val="{00000001-B94F-7B45-B136-19CAFC854E5A}"/>
            </c:ext>
          </c:extLst>
        </c:ser>
        <c:ser>
          <c:idx val="2"/>
          <c:order val="2"/>
          <c:tx>
            <c:strRef>
              <c:f>RESULTS!$M$138</c:f>
              <c:strCache>
                <c:ptCount val="1"/>
                <c:pt idx="0">
                  <c:v>Solar Buoy + 
AUV</c:v>
                </c:pt>
              </c:strCache>
            </c:strRef>
          </c:tx>
          <c:spPr>
            <a:solidFill>
              <a:schemeClr val="accent6">
                <a:lumMod val="40000"/>
                <a:lumOff val="60000"/>
              </a:schemeClr>
            </a:solidFill>
            <a:ln>
              <a:solidFill>
                <a:schemeClr val="accent6">
                  <a:lumMod val="60000"/>
                  <a:lumOff val="40000"/>
                </a:schemeClr>
              </a:solidFill>
            </a:ln>
            <a:effectLst/>
          </c:spPr>
          <c:invertIfNegative val="0"/>
          <c:cat>
            <c:strRef>
              <c:f>RESULTS!$N$135:$P$135</c:f>
              <c:strCache>
                <c:ptCount val="3"/>
                <c:pt idx="0">
                  <c:v>Nearshore 
(Mass. State Waters)</c:v>
                </c:pt>
                <c:pt idx="1">
                  <c:v>Far Offshore
 (Mass. Federal Waters)</c:v>
                </c:pt>
                <c:pt idx="2">
                  <c:v>High Latitude
 (Alaska State Waters)</c:v>
                </c:pt>
              </c:strCache>
            </c:strRef>
          </c:cat>
          <c:val>
            <c:numRef>
              <c:f>RESULTS!$N$138:$P$138</c:f>
              <c:numCache>
                <c:formatCode>"$"#,##0</c:formatCode>
                <c:ptCount val="3"/>
                <c:pt idx="0">
                  <c:v>4409924.6283333329</c:v>
                </c:pt>
                <c:pt idx="1">
                  <c:v>4421800.742333333</c:v>
                </c:pt>
                <c:pt idx="2">
                  <c:v>4543226.3221666664</c:v>
                </c:pt>
              </c:numCache>
            </c:numRef>
          </c:val>
          <c:extLst>
            <c:ext xmlns:c16="http://schemas.microsoft.com/office/drawing/2014/chart" uri="{C3380CC4-5D6E-409C-BE32-E72D297353CC}">
              <c16:uniqueId val="{00000002-B94F-7B45-B136-19CAFC854E5A}"/>
            </c:ext>
          </c:extLst>
        </c:ser>
        <c:ser>
          <c:idx val="3"/>
          <c:order val="3"/>
          <c:tx>
            <c:strRef>
              <c:f>RESULTS!$M$139</c:f>
              <c:strCache>
                <c:ptCount val="1"/>
                <c:pt idx="0">
                  <c:v>Solar Buoy + 
Remote Monitoring</c:v>
                </c:pt>
              </c:strCache>
            </c:strRef>
          </c:tx>
          <c:spPr>
            <a:solidFill>
              <a:schemeClr val="accent6"/>
            </a:solidFill>
            <a:ln>
              <a:solidFill>
                <a:schemeClr val="accent6">
                  <a:lumMod val="60000"/>
                  <a:lumOff val="40000"/>
                </a:schemeClr>
              </a:solidFill>
            </a:ln>
            <a:effectLst/>
          </c:spPr>
          <c:invertIfNegative val="0"/>
          <c:cat>
            <c:strRef>
              <c:f>RESULTS!$N$135:$P$135</c:f>
              <c:strCache>
                <c:ptCount val="3"/>
                <c:pt idx="0">
                  <c:v>Nearshore 
(Mass. State Waters)</c:v>
                </c:pt>
                <c:pt idx="1">
                  <c:v>Far Offshore
 (Mass. Federal Waters)</c:v>
                </c:pt>
                <c:pt idx="2">
                  <c:v>High Latitude
 (Alaska State Waters)</c:v>
                </c:pt>
              </c:strCache>
            </c:strRef>
          </c:cat>
          <c:val>
            <c:numRef>
              <c:f>RESULTS!$N$139:$P$139</c:f>
              <c:numCache>
                <c:formatCode>"$"#,##0</c:formatCode>
                <c:ptCount val="3"/>
                <c:pt idx="0">
                  <c:v>3486459.6283333334</c:v>
                </c:pt>
                <c:pt idx="1">
                  <c:v>3498335.7423333335</c:v>
                </c:pt>
                <c:pt idx="2">
                  <c:v>3035885.3221666669</c:v>
                </c:pt>
              </c:numCache>
            </c:numRef>
          </c:val>
          <c:extLst>
            <c:ext xmlns:c16="http://schemas.microsoft.com/office/drawing/2014/chart" uri="{C3380CC4-5D6E-409C-BE32-E72D297353CC}">
              <c16:uniqueId val="{00000003-B94F-7B45-B136-19CAFC854E5A}"/>
            </c:ext>
          </c:extLst>
        </c:ser>
        <c:ser>
          <c:idx val="4"/>
          <c:order val="4"/>
          <c:tx>
            <c:strRef>
              <c:f>RESULTS!$M$140</c:f>
              <c:strCache>
                <c:ptCount val="1"/>
                <c:pt idx="0">
                  <c:v>Batteries + 
AUV</c:v>
                </c:pt>
              </c:strCache>
            </c:strRef>
          </c:tx>
          <c:spPr>
            <a:solidFill>
              <a:schemeClr val="accent4">
                <a:lumMod val="20000"/>
                <a:lumOff val="80000"/>
              </a:schemeClr>
            </a:solidFill>
            <a:ln>
              <a:solidFill>
                <a:schemeClr val="accent4">
                  <a:lumMod val="60000"/>
                  <a:lumOff val="40000"/>
                </a:schemeClr>
              </a:solidFill>
            </a:ln>
            <a:effectLst/>
          </c:spPr>
          <c:invertIfNegative val="0"/>
          <c:cat>
            <c:strRef>
              <c:f>RESULTS!$N$135:$P$135</c:f>
              <c:strCache>
                <c:ptCount val="3"/>
                <c:pt idx="0">
                  <c:v>Nearshore 
(Mass. State Waters)</c:v>
                </c:pt>
                <c:pt idx="1">
                  <c:v>Far Offshore
 (Mass. Federal Waters)</c:v>
                </c:pt>
                <c:pt idx="2">
                  <c:v>High Latitude
 (Alaska State Waters)</c:v>
                </c:pt>
              </c:strCache>
            </c:strRef>
          </c:cat>
          <c:val>
            <c:numRef>
              <c:f>RESULTS!$N$140:$P$140</c:f>
              <c:numCache>
                <c:formatCode>"$"#,##0</c:formatCode>
                <c:ptCount val="3"/>
                <c:pt idx="0">
                  <c:v>4277022.0133333337</c:v>
                </c:pt>
                <c:pt idx="1">
                  <c:v>4283099.1273333337</c:v>
                </c:pt>
                <c:pt idx="2">
                  <c:v>4284735.7013333337</c:v>
                </c:pt>
              </c:numCache>
            </c:numRef>
          </c:val>
          <c:extLst>
            <c:ext xmlns:c16="http://schemas.microsoft.com/office/drawing/2014/chart" uri="{C3380CC4-5D6E-409C-BE32-E72D297353CC}">
              <c16:uniqueId val="{00000004-B94F-7B45-B136-19CAFC854E5A}"/>
            </c:ext>
          </c:extLst>
        </c:ser>
        <c:ser>
          <c:idx val="5"/>
          <c:order val="5"/>
          <c:tx>
            <c:strRef>
              <c:f>RESULTS!$M$141</c:f>
              <c:strCache>
                <c:ptCount val="1"/>
                <c:pt idx="0">
                  <c:v>Batteries + 
Remote Monitoring</c:v>
                </c:pt>
              </c:strCache>
            </c:strRef>
          </c:tx>
          <c:spPr>
            <a:solidFill>
              <a:schemeClr val="accent4"/>
            </a:solidFill>
            <a:ln>
              <a:solidFill>
                <a:schemeClr val="accent4">
                  <a:lumMod val="75000"/>
                </a:schemeClr>
              </a:solidFill>
            </a:ln>
            <a:effectLst/>
          </c:spPr>
          <c:invertIfNegative val="0"/>
          <c:cat>
            <c:strRef>
              <c:f>RESULTS!$N$135:$P$135</c:f>
              <c:strCache>
                <c:ptCount val="3"/>
                <c:pt idx="0">
                  <c:v>Nearshore 
(Mass. State Waters)</c:v>
                </c:pt>
                <c:pt idx="1">
                  <c:v>Far Offshore
 (Mass. Federal Waters)</c:v>
                </c:pt>
                <c:pt idx="2">
                  <c:v>High Latitude
 (Alaska State Waters)</c:v>
                </c:pt>
              </c:strCache>
            </c:strRef>
          </c:cat>
          <c:val>
            <c:numRef>
              <c:f>RESULTS!$N$141:$P$141</c:f>
              <c:numCache>
                <c:formatCode>"$"#,##0</c:formatCode>
                <c:ptCount val="3"/>
                <c:pt idx="0">
                  <c:v>3433378.0133333332</c:v>
                </c:pt>
                <c:pt idx="1">
                  <c:v>3439455.1273333333</c:v>
                </c:pt>
                <c:pt idx="2">
                  <c:v>3441091.7013333333</c:v>
                </c:pt>
              </c:numCache>
            </c:numRef>
          </c:val>
          <c:extLst>
            <c:ext xmlns:c16="http://schemas.microsoft.com/office/drawing/2014/chart" uri="{C3380CC4-5D6E-409C-BE32-E72D297353CC}">
              <c16:uniqueId val="{00000005-B94F-7B45-B136-19CAFC854E5A}"/>
            </c:ext>
          </c:extLst>
        </c:ser>
        <c:dLbls>
          <c:showLegendKey val="0"/>
          <c:showVal val="0"/>
          <c:showCatName val="0"/>
          <c:showSerName val="0"/>
          <c:showPercent val="0"/>
          <c:showBubbleSize val="0"/>
        </c:dLbls>
        <c:gapWidth val="219"/>
        <c:overlap val="-27"/>
        <c:axId val="1517356192"/>
        <c:axId val="335293760"/>
      </c:barChart>
      <c:catAx>
        <c:axId val="1517356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335293760"/>
        <c:crosses val="autoZero"/>
        <c:auto val="1"/>
        <c:lblAlgn val="ctr"/>
        <c:lblOffset val="100"/>
        <c:noMultiLvlLbl val="0"/>
      </c:catAx>
      <c:valAx>
        <c:axId val="33529376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517356192"/>
        <c:crosses val="autoZero"/>
        <c:crossBetween val="between"/>
      </c:valAx>
      <c:spPr>
        <a:noFill/>
        <a:ln>
          <a:noFill/>
        </a:ln>
        <a:effectLst/>
      </c:spPr>
    </c:plotArea>
    <c:legend>
      <c:legendPos val="r"/>
      <c:layout>
        <c:manualLayout>
          <c:xMode val="edge"/>
          <c:yMode val="edge"/>
          <c:x val="0.86289860208262215"/>
          <c:y val="5.3620482699208272E-2"/>
          <c:w val="0.1318532491657011"/>
          <c:h val="0.8063137011897649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6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a:t>Total CapEx, Install, and O&amp;M (1 year) Costs (</a:t>
            </a:r>
            <a:r>
              <a:rPr lang="en-US" i="1"/>
              <a:t>Single Device</a:t>
            </a:r>
            <a:r>
              <a:rPr lang="en-US"/>
              <a:t>)</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RESULTS!$N$29</c:f>
              <c:strCache>
                <c:ptCount val="1"/>
                <c:pt idx="0">
                  <c:v>Nearshore 
(Mass. State Waters)</c:v>
                </c:pt>
              </c:strCache>
            </c:strRef>
          </c:tx>
          <c:spPr>
            <a:solidFill>
              <a:schemeClr val="accent5">
                <a:lumMod val="60000"/>
                <a:lumOff val="40000"/>
              </a:schemeClr>
            </a:solidFill>
            <a:ln>
              <a:solidFill>
                <a:schemeClr val="accent5"/>
              </a:solidFill>
            </a:ln>
            <a:effectLst/>
          </c:spPr>
          <c:invertIfNegative val="0"/>
          <c:cat>
            <c:strRef>
              <c:f>RESULTS!$M$30:$M$35</c:f>
              <c:strCache>
                <c:ptCount val="6"/>
                <c:pt idx="0">
                  <c:v>MADWEC (AUV scenario)</c:v>
                </c:pt>
                <c:pt idx="1">
                  <c:v>MADWEC  
(Remote Monitoring scenario)</c:v>
                </c:pt>
                <c:pt idx="2">
                  <c:v>Solar Buoy (AUV scenario)</c:v>
                </c:pt>
                <c:pt idx="3">
                  <c:v>Solar Buoy (Remote Monitoring scenario)</c:v>
                </c:pt>
                <c:pt idx="4">
                  <c:v>Batteries (AUV scenario)</c:v>
                </c:pt>
                <c:pt idx="5">
                  <c:v>Batteries (Remote Monitoring scenario)</c:v>
                </c:pt>
              </c:strCache>
            </c:strRef>
          </c:cat>
          <c:val>
            <c:numRef>
              <c:f>RESULTS!$N$30:$N$35</c:f>
              <c:numCache>
                <c:formatCode>"$"#,##0</c:formatCode>
                <c:ptCount val="6"/>
                <c:pt idx="0">
                  <c:v>4231965.5236666668</c:v>
                </c:pt>
                <c:pt idx="1">
                  <c:v>3427066.8776666666</c:v>
                </c:pt>
                <c:pt idx="2">
                  <c:v>4311557.9446666669</c:v>
                </c:pt>
                <c:pt idx="3">
                  <c:v>3502550.0066666668</c:v>
                </c:pt>
                <c:pt idx="4">
                  <c:v>4209176.3296666667</c:v>
                </c:pt>
                <c:pt idx="5">
                  <c:v>3400168.3916666666</c:v>
                </c:pt>
              </c:numCache>
            </c:numRef>
          </c:val>
          <c:extLst>
            <c:ext xmlns:c16="http://schemas.microsoft.com/office/drawing/2014/chart" uri="{C3380CC4-5D6E-409C-BE32-E72D297353CC}">
              <c16:uniqueId val="{00000000-B1C1-C843-88D9-D16E85B460BC}"/>
            </c:ext>
          </c:extLst>
        </c:ser>
        <c:ser>
          <c:idx val="1"/>
          <c:order val="1"/>
          <c:tx>
            <c:strRef>
              <c:f>RESULTS!$O$29</c:f>
              <c:strCache>
                <c:ptCount val="1"/>
                <c:pt idx="0">
                  <c:v>Far Offshore
 (Mass. Federal Waters)</c:v>
                </c:pt>
              </c:strCache>
            </c:strRef>
          </c:tx>
          <c:spPr>
            <a:solidFill>
              <a:schemeClr val="accent6">
                <a:lumMod val="60000"/>
                <a:lumOff val="40000"/>
              </a:schemeClr>
            </a:solidFill>
            <a:ln>
              <a:solidFill>
                <a:schemeClr val="accent6"/>
              </a:solidFill>
            </a:ln>
            <a:effectLst/>
          </c:spPr>
          <c:invertIfNegative val="0"/>
          <c:cat>
            <c:strRef>
              <c:f>RESULTS!$M$30:$M$35</c:f>
              <c:strCache>
                <c:ptCount val="6"/>
                <c:pt idx="0">
                  <c:v>MADWEC (AUV scenario)</c:v>
                </c:pt>
                <c:pt idx="1">
                  <c:v>MADWEC  
(Remote Monitoring scenario)</c:v>
                </c:pt>
                <c:pt idx="2">
                  <c:v>Solar Buoy (AUV scenario)</c:v>
                </c:pt>
                <c:pt idx="3">
                  <c:v>Solar Buoy (Remote Monitoring scenario)</c:v>
                </c:pt>
                <c:pt idx="4">
                  <c:v>Batteries (AUV scenario)</c:v>
                </c:pt>
                <c:pt idx="5">
                  <c:v>Batteries (Remote Monitoring scenario)</c:v>
                </c:pt>
              </c:strCache>
            </c:strRef>
          </c:cat>
          <c:val>
            <c:numRef>
              <c:f>RESULTS!$O$30:$O$35</c:f>
              <c:numCache>
                <c:formatCode>"$"#,##0</c:formatCode>
                <c:ptCount val="6"/>
                <c:pt idx="0">
                  <c:v>4245119.7516666669</c:v>
                </c:pt>
                <c:pt idx="1">
                  <c:v>3411916.9983333331</c:v>
                </c:pt>
                <c:pt idx="2">
                  <c:v>4331235.1926666666</c:v>
                </c:pt>
                <c:pt idx="3">
                  <c:v>3522498.2346666665</c:v>
                </c:pt>
                <c:pt idx="4">
                  <c:v>4222330.5576666668</c:v>
                </c:pt>
                <c:pt idx="5">
                  <c:v>3413322.6196666667</c:v>
                </c:pt>
              </c:numCache>
            </c:numRef>
          </c:val>
          <c:extLst>
            <c:ext xmlns:c16="http://schemas.microsoft.com/office/drawing/2014/chart" uri="{C3380CC4-5D6E-409C-BE32-E72D297353CC}">
              <c16:uniqueId val="{00000001-B1C1-C843-88D9-D16E85B460BC}"/>
            </c:ext>
          </c:extLst>
        </c:ser>
        <c:ser>
          <c:idx val="2"/>
          <c:order val="2"/>
          <c:tx>
            <c:strRef>
              <c:f>RESULTS!$P$29</c:f>
              <c:strCache>
                <c:ptCount val="1"/>
                <c:pt idx="0">
                  <c:v>High Latitude
 (Alaska State Waters)</c:v>
                </c:pt>
              </c:strCache>
            </c:strRef>
          </c:tx>
          <c:spPr>
            <a:solidFill>
              <a:schemeClr val="accent4">
                <a:lumMod val="60000"/>
                <a:lumOff val="40000"/>
              </a:schemeClr>
            </a:solidFill>
            <a:ln>
              <a:solidFill>
                <a:schemeClr val="accent4"/>
              </a:solidFill>
            </a:ln>
            <a:effectLst/>
          </c:spPr>
          <c:invertIfNegative val="0"/>
          <c:cat>
            <c:strRef>
              <c:f>RESULTS!$M$30:$M$35</c:f>
              <c:strCache>
                <c:ptCount val="6"/>
                <c:pt idx="0">
                  <c:v>MADWEC (AUV scenario)</c:v>
                </c:pt>
                <c:pt idx="1">
                  <c:v>MADWEC  
(Remote Monitoring scenario)</c:v>
                </c:pt>
                <c:pt idx="2">
                  <c:v>Solar Buoy (AUV scenario)</c:v>
                </c:pt>
                <c:pt idx="3">
                  <c:v>Solar Buoy (Remote Monitoring scenario)</c:v>
                </c:pt>
                <c:pt idx="4">
                  <c:v>Batteries (AUV scenario)</c:v>
                </c:pt>
                <c:pt idx="5">
                  <c:v>Batteries (Remote Monitoring scenario)</c:v>
                </c:pt>
              </c:strCache>
            </c:strRef>
          </c:cat>
          <c:val>
            <c:numRef>
              <c:f>RESULTS!$P$30:$P$35</c:f>
              <c:numCache>
                <c:formatCode>"$"#,##0</c:formatCode>
                <c:ptCount val="6"/>
                <c:pt idx="0">
                  <c:v>4252426.5918333335</c:v>
                </c:pt>
                <c:pt idx="1">
                  <c:v>3453930.7234999998</c:v>
                </c:pt>
                <c:pt idx="2">
                  <c:v>4301984.3221666664</c:v>
                </c:pt>
                <c:pt idx="3">
                  <c:v>3529523.6443333332</c:v>
                </c:pt>
                <c:pt idx="4">
                  <c:v>4231179.5884999996</c:v>
                </c:pt>
                <c:pt idx="5">
                  <c:v>3428969.0235000001</c:v>
                </c:pt>
              </c:numCache>
            </c:numRef>
          </c:val>
          <c:extLst>
            <c:ext xmlns:c16="http://schemas.microsoft.com/office/drawing/2014/chart" uri="{C3380CC4-5D6E-409C-BE32-E72D297353CC}">
              <c16:uniqueId val="{00000002-B1C1-C843-88D9-D16E85B460BC}"/>
            </c:ext>
          </c:extLst>
        </c:ser>
        <c:dLbls>
          <c:showLegendKey val="0"/>
          <c:showVal val="0"/>
          <c:showCatName val="0"/>
          <c:showSerName val="0"/>
          <c:showPercent val="0"/>
          <c:showBubbleSize val="0"/>
        </c:dLbls>
        <c:gapWidth val="219"/>
        <c:overlap val="-27"/>
        <c:axId val="1498715072"/>
        <c:axId val="1498755664"/>
      </c:barChart>
      <c:catAx>
        <c:axId val="149871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498755664"/>
        <c:crosses val="autoZero"/>
        <c:auto val="1"/>
        <c:lblAlgn val="ctr"/>
        <c:lblOffset val="100"/>
        <c:noMultiLvlLbl val="0"/>
      </c:catAx>
      <c:valAx>
        <c:axId val="1498755664"/>
        <c:scaling>
          <c:orientation val="minMax"/>
          <c:max val="6000000"/>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498715072"/>
        <c:crosses val="autoZero"/>
        <c:crossBetween val="between"/>
        <c:majorUnit val="1000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600"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14</xdr:col>
      <xdr:colOff>330199</xdr:colOff>
      <xdr:row>9</xdr:row>
      <xdr:rowOff>0</xdr:rowOff>
    </xdr:from>
    <xdr:to>
      <xdr:col>29</xdr:col>
      <xdr:colOff>601444</xdr:colOff>
      <xdr:row>44</xdr:row>
      <xdr:rowOff>101600</xdr:rowOff>
    </xdr:to>
    <xdr:pic>
      <xdr:nvPicPr>
        <xdr:cNvPr id="3" name="Picture 2">
          <a:extLst>
            <a:ext uri="{FF2B5EF4-FFF2-40B4-BE49-F238E27FC236}">
              <a16:creationId xmlns:a16="http://schemas.microsoft.com/office/drawing/2014/main" id="{9A37D298-E139-1369-4D81-8129B44AFA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5299" y="1778000"/>
          <a:ext cx="12653745" cy="707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508000</xdr:colOff>
      <xdr:row>61</xdr:row>
      <xdr:rowOff>152400</xdr:rowOff>
    </xdr:from>
    <xdr:to>
      <xdr:col>11</xdr:col>
      <xdr:colOff>765036</xdr:colOff>
      <xdr:row>77</xdr:row>
      <xdr:rowOff>393700</xdr:rowOff>
    </xdr:to>
    <mc:AlternateContent xmlns:mc="http://schemas.openxmlformats.org/markup-compatibility/2006" xmlns:a14="http://schemas.microsoft.com/office/drawing/2010/main">
      <mc:Choice Requires="a14">
        <xdr:sp macro="" textlink="">
          <xdr:nvSpPr>
            <xdr:cNvPr id="2" name="TextBox 11">
              <a:extLst>
                <a:ext uri="{FF2B5EF4-FFF2-40B4-BE49-F238E27FC236}">
                  <a16:creationId xmlns:a16="http://schemas.microsoft.com/office/drawing/2014/main" id="{3BFE36BF-4026-4C92-6830-81D36E1EC331}"/>
                </a:ext>
              </a:extLst>
            </xdr:cNvPr>
            <xdr:cNvSpPr txBox="1"/>
          </xdr:nvSpPr>
          <xdr:spPr>
            <a:xfrm>
              <a:off x="5130800" y="12141200"/>
              <a:ext cx="6302236" cy="33020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14:m>
                <m:oMathPara xmlns:m="http://schemas.openxmlformats.org/officeDocument/2006/math">
                  <m:oMathParaPr>
                    <m:jc m:val="centerGroup"/>
                  </m:oMathParaPr>
                  <m:oMath xmlns:m="http://schemas.openxmlformats.org/officeDocument/2006/math">
                    <m:r>
                      <a:rPr lang="en-US" sz="1400" b="1" i="1">
                        <a:latin typeface="Cambria Math" panose="02040503050406030204" pitchFamily="18" charset="0"/>
                      </a:rPr>
                      <m:t>𝑨𝑬𝑷</m:t>
                    </m:r>
                    <m:r>
                      <a:rPr lang="en-US" sz="1400" b="1" i="1">
                        <a:latin typeface="Cambria Math" panose="02040503050406030204" pitchFamily="18" charset="0"/>
                      </a:rPr>
                      <m:t>= </m:t>
                    </m:r>
                    <m:d>
                      <m:dPr>
                        <m:ctrlPr>
                          <a:rPr lang="en-US" sz="1400" b="1" i="1">
                            <a:latin typeface="Cambria Math" panose="02040503050406030204" pitchFamily="18" charset="0"/>
                          </a:rPr>
                        </m:ctrlPr>
                      </m:dPr>
                      <m:e>
                        <m:nary>
                          <m:naryPr>
                            <m:chr m:val="∑"/>
                            <m:subHide m:val="on"/>
                            <m:supHide m:val="on"/>
                            <m:ctrlPr>
                              <a:rPr lang="en-US" sz="1400" b="1" i="1">
                                <a:latin typeface="Cambria Math" panose="02040503050406030204" pitchFamily="18" charset="0"/>
                              </a:rPr>
                            </m:ctrlPr>
                          </m:naryPr>
                          <m:sub/>
                          <m:sup/>
                          <m:e>
                            <m:r>
                              <a:rPr lang="en-US" sz="1400" b="1" i="1">
                                <a:latin typeface="Cambria Math" panose="02040503050406030204" pitchFamily="18" charset="0"/>
                              </a:rPr>
                              <m:t>𝑷𝑴</m:t>
                            </m:r>
                            <m:r>
                              <a:rPr lang="en-US" sz="1400" b="1" i="1">
                                <a:latin typeface="Cambria Math" panose="02040503050406030204" pitchFamily="18" charset="0"/>
                              </a:rPr>
                              <m:t>∗</m:t>
                            </m:r>
                            <m:r>
                              <a:rPr lang="en-US" sz="1400" b="1" i="1">
                                <a:latin typeface="Cambria Math" panose="02040503050406030204" pitchFamily="18" charset="0"/>
                              </a:rPr>
                              <m:t>𝑱𝑷𝑫</m:t>
                            </m:r>
                          </m:e>
                        </m:nary>
                      </m:e>
                    </m:d>
                    <m:r>
                      <a:rPr lang="en-US" sz="1400" b="1" i="1">
                        <a:latin typeface="Cambria Math" panose="02040503050406030204" pitchFamily="18" charset="0"/>
                      </a:rPr>
                      <m:t>∗</m:t>
                    </m:r>
                    <m:f>
                      <m:fPr>
                        <m:ctrlPr>
                          <a:rPr lang="en-US" sz="1400" b="1" i="1">
                            <a:latin typeface="Cambria Math" panose="02040503050406030204" pitchFamily="18" charset="0"/>
                          </a:rPr>
                        </m:ctrlPr>
                      </m:fPr>
                      <m:num>
                        <m:r>
                          <a:rPr lang="en-US" sz="1400" b="1" i="0">
                            <a:latin typeface="Cambria Math" panose="02040503050406030204" pitchFamily="18" charset="0"/>
                          </a:rPr>
                          <m:t>𝟖𝟕𝟔𝟎𝐡𝐫</m:t>
                        </m:r>
                      </m:num>
                      <m:den>
                        <m:r>
                          <a:rPr lang="en-US" sz="1400" b="1" i="0">
                            <a:latin typeface="Cambria Math" panose="02040503050406030204" pitchFamily="18" charset="0"/>
                          </a:rPr>
                          <m:t>𝐲𝐫</m:t>
                        </m:r>
                      </m:den>
                    </m:f>
                  </m:oMath>
                </m:oMathPara>
              </a14:m>
              <a:endParaRPr lang="en-US" sz="1400" b="1">
                <a:latin typeface="+mn-lt"/>
              </a:endParaRPr>
            </a:p>
            <a:p>
              <a:pPr algn="ctr"/>
              <a:endParaRPr lang="en-US" sz="1400" b="1">
                <a:latin typeface="+mn-lt"/>
              </a:endParaRPr>
            </a:p>
            <a:p>
              <a:r>
                <a:rPr lang="en-US" sz="1400" b="1"/>
                <a:t>AEP (Wh/yr) = annual energy production</a:t>
              </a:r>
            </a:p>
            <a:p>
              <a:endParaRPr lang="en-US" sz="1400" b="1"/>
            </a:p>
            <a:p>
              <a:r>
                <a:rPr lang="en-US" sz="1400" b="1"/>
                <a:t>PM (W) = MADWEC’s Power Matrix of size (mn)</a:t>
              </a:r>
            </a:p>
            <a:p>
              <a:pPr/>
              <a14:m>
                <m:oMathPara xmlns:m="http://schemas.openxmlformats.org/officeDocument/2006/math">
                  <m:oMathParaPr>
                    <m:jc m:val="centerGroup"/>
                  </m:oMathParaPr>
                  <m:oMath xmlns:m="http://schemas.openxmlformats.org/officeDocument/2006/math">
                    <m:r>
                      <a:rPr lang="en-US" sz="1400" b="1" i="1">
                        <a:latin typeface="Cambria Math" panose="02040503050406030204" pitchFamily="18" charset="0"/>
                      </a:rPr>
                      <m:t>𝑷𝑴</m:t>
                    </m:r>
                    <m:r>
                      <a:rPr lang="en-US" sz="1400" b="1" i="1">
                        <a:latin typeface="Cambria Math" panose="02040503050406030204" pitchFamily="18" charset="0"/>
                      </a:rPr>
                      <m:t>= </m:t>
                    </m:r>
                    <m:d>
                      <m:dPr>
                        <m:ctrlPr>
                          <a:rPr lang="en-US" sz="1400" b="1" i="1">
                            <a:latin typeface="Cambria Math" panose="02040503050406030204" pitchFamily="18" charset="0"/>
                          </a:rPr>
                        </m:ctrlPr>
                      </m:dPr>
                      <m:e>
                        <m:m>
                          <m:mPr>
                            <m:mcs>
                              <m:mc>
                                <m:mcPr>
                                  <m:count m:val="3"/>
                                  <m:mcJc m:val="center"/>
                                </m:mcPr>
                              </m:mc>
                            </m:mcs>
                            <m:ctrlPr>
                              <a:rPr lang="en-US" sz="1400" b="1" i="1">
                                <a:latin typeface="Cambria Math" panose="02040503050406030204" pitchFamily="18" charset="0"/>
                              </a:rPr>
                            </m:ctrlPr>
                          </m:mPr>
                          <m:mr>
                            <m:e>
                              <m:sSub>
                                <m:sSubPr>
                                  <m:ctrlPr>
                                    <a:rPr lang="en-US" sz="1400" b="1" i="1">
                                      <a:latin typeface="Cambria Math" panose="02040503050406030204" pitchFamily="18" charset="0"/>
                                    </a:rPr>
                                  </m:ctrlPr>
                                </m:sSubPr>
                                <m:e>
                                  <m:r>
                                    <a:rPr lang="en-US" sz="1400" b="1" i="1">
                                      <a:latin typeface="Cambria Math" panose="02040503050406030204" pitchFamily="18" charset="0"/>
                                    </a:rPr>
                                    <m:t>𝒑𝒎</m:t>
                                  </m:r>
                                </m:e>
                                <m:sub>
                                  <m:r>
                                    <a:rPr lang="en-US" sz="1400" b="1" i="1">
                                      <a:latin typeface="Cambria Math" panose="02040503050406030204" pitchFamily="18" charset="0"/>
                                    </a:rPr>
                                    <m:t>𝟏𝟏</m:t>
                                  </m:r>
                                </m:sub>
                              </m:sSub>
                            </m:e>
                            <m:e>
                              <m:r>
                                <a:rPr lang="en-US" sz="1400" b="1" i="1">
                                  <a:latin typeface="Cambria Math" panose="02040503050406030204" pitchFamily="18" charset="0"/>
                                </a:rPr>
                                <m:t>⋯</m:t>
                              </m:r>
                            </m:e>
                            <m:e>
                              <m:sSub>
                                <m:sSubPr>
                                  <m:ctrlPr>
                                    <a:rPr lang="en-US" sz="1400" b="1" i="1">
                                      <a:latin typeface="Cambria Math" panose="02040503050406030204" pitchFamily="18" charset="0"/>
                                    </a:rPr>
                                  </m:ctrlPr>
                                </m:sSubPr>
                                <m:e>
                                  <m:r>
                                    <a:rPr lang="en-US" sz="1400" b="1" i="1">
                                      <a:latin typeface="Cambria Math" panose="02040503050406030204" pitchFamily="18" charset="0"/>
                                    </a:rPr>
                                    <m:t>𝒑𝒎</m:t>
                                  </m:r>
                                </m:e>
                                <m:sub>
                                  <m:r>
                                    <a:rPr lang="en-US" sz="1400" b="1" i="1">
                                      <a:latin typeface="Cambria Math" panose="02040503050406030204" pitchFamily="18" charset="0"/>
                                    </a:rPr>
                                    <m:t>𝟏</m:t>
                                  </m:r>
                                  <m:r>
                                    <a:rPr lang="en-US" sz="1400" b="1" i="1">
                                      <a:latin typeface="Cambria Math" panose="02040503050406030204" pitchFamily="18" charset="0"/>
                                    </a:rPr>
                                    <m:t>𝒏</m:t>
                                  </m:r>
                                </m:sub>
                              </m:sSub>
                            </m:e>
                          </m:mr>
                          <m:mr>
                            <m:e>
                              <m:r>
                                <a:rPr lang="en-US" sz="1400" b="1" i="1">
                                  <a:latin typeface="Cambria Math" panose="02040503050406030204" pitchFamily="18" charset="0"/>
                                </a:rPr>
                                <m:t>⋮</m:t>
                              </m:r>
                            </m:e>
                            <m:e>
                              <m:r>
                                <a:rPr lang="en-US" sz="1400" b="1" i="1">
                                  <a:latin typeface="Cambria Math" panose="02040503050406030204" pitchFamily="18" charset="0"/>
                                </a:rPr>
                                <m:t>⋱</m:t>
                              </m:r>
                            </m:e>
                            <m:e>
                              <m:r>
                                <a:rPr lang="en-US" sz="1400" b="1" i="1">
                                  <a:latin typeface="Cambria Math" panose="02040503050406030204" pitchFamily="18" charset="0"/>
                                </a:rPr>
                                <m:t>⋮</m:t>
                              </m:r>
                            </m:e>
                          </m:mr>
                          <m:mr>
                            <m:e>
                              <m:sSub>
                                <m:sSubPr>
                                  <m:ctrlPr>
                                    <a:rPr lang="en-US" sz="1400" b="1" i="1">
                                      <a:latin typeface="Cambria Math" panose="02040503050406030204" pitchFamily="18" charset="0"/>
                                    </a:rPr>
                                  </m:ctrlPr>
                                </m:sSubPr>
                                <m:e>
                                  <m:r>
                                    <a:rPr lang="en-US" sz="1400" b="1" i="1">
                                      <a:latin typeface="Cambria Math" panose="02040503050406030204" pitchFamily="18" charset="0"/>
                                    </a:rPr>
                                    <m:t>𝒑𝒎</m:t>
                                  </m:r>
                                </m:e>
                                <m:sub>
                                  <m:r>
                                    <a:rPr lang="en-US" sz="1400" b="1" i="1">
                                      <a:latin typeface="Cambria Math" panose="02040503050406030204" pitchFamily="18" charset="0"/>
                                    </a:rPr>
                                    <m:t>𝒎</m:t>
                                  </m:r>
                                  <m:r>
                                    <a:rPr lang="en-US" sz="1400" b="1" i="1">
                                      <a:latin typeface="Cambria Math" panose="02040503050406030204" pitchFamily="18" charset="0"/>
                                    </a:rPr>
                                    <m:t>𝟏</m:t>
                                  </m:r>
                                </m:sub>
                              </m:sSub>
                            </m:e>
                            <m:e>
                              <m:r>
                                <a:rPr lang="en-US" sz="1400" b="1" i="1">
                                  <a:latin typeface="Cambria Math" panose="02040503050406030204" pitchFamily="18" charset="0"/>
                                </a:rPr>
                                <m:t>⋯</m:t>
                              </m:r>
                            </m:e>
                            <m:e>
                              <m:sSub>
                                <m:sSubPr>
                                  <m:ctrlPr>
                                    <a:rPr lang="en-US" sz="1400" b="1" i="1">
                                      <a:latin typeface="Cambria Math" panose="02040503050406030204" pitchFamily="18" charset="0"/>
                                    </a:rPr>
                                  </m:ctrlPr>
                                </m:sSubPr>
                                <m:e>
                                  <m:r>
                                    <a:rPr lang="en-US" sz="1400" b="1" i="1">
                                      <a:latin typeface="Cambria Math" panose="02040503050406030204" pitchFamily="18" charset="0"/>
                                    </a:rPr>
                                    <m:t>𝒑𝒎</m:t>
                                  </m:r>
                                </m:e>
                                <m:sub>
                                  <m:r>
                                    <a:rPr lang="en-US" sz="1400" b="1" i="1">
                                      <a:latin typeface="Cambria Math" panose="02040503050406030204" pitchFamily="18" charset="0"/>
                                    </a:rPr>
                                    <m:t>𝒎𝒏</m:t>
                                  </m:r>
                                </m:sub>
                              </m:sSub>
                            </m:e>
                          </m:mr>
                        </m:m>
                      </m:e>
                    </m:d>
                  </m:oMath>
                </m:oMathPara>
              </a14:m>
              <a:endParaRPr lang="en-US" sz="1400" b="1"/>
            </a:p>
            <a:p>
              <a:r>
                <a:rPr lang="en-US" sz="1400" b="1"/>
                <a:t> </a:t>
              </a:r>
            </a:p>
            <a:p>
              <a:r>
                <a:rPr lang="en-US" sz="1400" b="1"/>
                <a:t>JPD (n/a) = Resource’s Joint Probability Distribution matrix of size (mn)</a:t>
              </a:r>
            </a:p>
            <a:p>
              <a:pPr/>
              <a14:m>
                <m:oMathPara xmlns:m="http://schemas.openxmlformats.org/officeDocument/2006/math">
                  <m:oMathParaPr>
                    <m:jc m:val="centerGroup"/>
                  </m:oMathParaPr>
                  <m:oMath xmlns:m="http://schemas.openxmlformats.org/officeDocument/2006/math">
                    <m:r>
                      <a:rPr lang="en-US" sz="1400" b="1" i="1">
                        <a:latin typeface="Cambria Math" panose="02040503050406030204" pitchFamily="18" charset="0"/>
                      </a:rPr>
                      <m:t>𝑱𝑷𝑫</m:t>
                    </m:r>
                    <m:r>
                      <a:rPr lang="en-US" sz="1400" b="1" i="1">
                        <a:latin typeface="Cambria Math" panose="02040503050406030204" pitchFamily="18" charset="0"/>
                      </a:rPr>
                      <m:t>= </m:t>
                    </m:r>
                    <m:d>
                      <m:dPr>
                        <m:ctrlPr>
                          <a:rPr lang="en-US" sz="1400" b="1" i="1">
                            <a:latin typeface="Cambria Math" panose="02040503050406030204" pitchFamily="18" charset="0"/>
                          </a:rPr>
                        </m:ctrlPr>
                      </m:dPr>
                      <m:e>
                        <m:m>
                          <m:mPr>
                            <m:mcs>
                              <m:mc>
                                <m:mcPr>
                                  <m:count m:val="3"/>
                                  <m:mcJc m:val="center"/>
                                </m:mcPr>
                              </m:mc>
                            </m:mcs>
                            <m:ctrlPr>
                              <a:rPr lang="en-US" sz="1400" b="1" i="1">
                                <a:latin typeface="Cambria Math" panose="02040503050406030204" pitchFamily="18" charset="0"/>
                              </a:rPr>
                            </m:ctrlPr>
                          </m:mPr>
                          <m:mr>
                            <m:e>
                              <m:sSub>
                                <m:sSubPr>
                                  <m:ctrlPr>
                                    <a:rPr lang="en-US" sz="1400" b="1" i="1">
                                      <a:latin typeface="Cambria Math" panose="02040503050406030204" pitchFamily="18" charset="0"/>
                                    </a:rPr>
                                  </m:ctrlPr>
                                </m:sSubPr>
                                <m:e>
                                  <m:r>
                                    <a:rPr lang="en-US" sz="1400" b="1" i="1">
                                      <a:latin typeface="Cambria Math" panose="02040503050406030204" pitchFamily="18" charset="0"/>
                                    </a:rPr>
                                    <m:t>𝒋𝒑𝒅</m:t>
                                  </m:r>
                                </m:e>
                                <m:sub>
                                  <m:r>
                                    <a:rPr lang="en-US" sz="1400" b="1" i="1">
                                      <a:latin typeface="Cambria Math" panose="02040503050406030204" pitchFamily="18" charset="0"/>
                                    </a:rPr>
                                    <m:t>𝟏𝟏</m:t>
                                  </m:r>
                                </m:sub>
                              </m:sSub>
                            </m:e>
                            <m:e>
                              <m:r>
                                <a:rPr lang="en-US" sz="1400" b="1" i="1">
                                  <a:latin typeface="Cambria Math" panose="02040503050406030204" pitchFamily="18" charset="0"/>
                                </a:rPr>
                                <m:t>⋯</m:t>
                              </m:r>
                            </m:e>
                            <m:e>
                              <m:sSub>
                                <m:sSubPr>
                                  <m:ctrlPr>
                                    <a:rPr lang="en-US" sz="1400" b="1" i="1">
                                      <a:latin typeface="Cambria Math" panose="02040503050406030204" pitchFamily="18" charset="0"/>
                                    </a:rPr>
                                  </m:ctrlPr>
                                </m:sSubPr>
                                <m:e>
                                  <m:r>
                                    <a:rPr lang="en-US" sz="1400" b="1" i="1">
                                      <a:latin typeface="Cambria Math" panose="02040503050406030204" pitchFamily="18" charset="0"/>
                                    </a:rPr>
                                    <m:t>𝒋𝒑𝒅</m:t>
                                  </m:r>
                                </m:e>
                                <m:sub>
                                  <m:r>
                                    <a:rPr lang="en-US" sz="1400" b="1" i="1">
                                      <a:latin typeface="Cambria Math" panose="02040503050406030204" pitchFamily="18" charset="0"/>
                                    </a:rPr>
                                    <m:t>𝟏</m:t>
                                  </m:r>
                                  <m:r>
                                    <a:rPr lang="en-US" sz="1400" b="1" i="1">
                                      <a:latin typeface="Cambria Math" panose="02040503050406030204" pitchFamily="18" charset="0"/>
                                    </a:rPr>
                                    <m:t>𝒏</m:t>
                                  </m:r>
                                </m:sub>
                              </m:sSub>
                            </m:e>
                          </m:mr>
                          <m:mr>
                            <m:e>
                              <m:r>
                                <a:rPr lang="en-US" sz="1400" b="1" i="1">
                                  <a:latin typeface="Cambria Math" panose="02040503050406030204" pitchFamily="18" charset="0"/>
                                </a:rPr>
                                <m:t>⋮</m:t>
                              </m:r>
                            </m:e>
                            <m:e>
                              <m:r>
                                <a:rPr lang="en-US" sz="1400" b="1" i="1">
                                  <a:latin typeface="Cambria Math" panose="02040503050406030204" pitchFamily="18" charset="0"/>
                                </a:rPr>
                                <m:t>⋱</m:t>
                              </m:r>
                            </m:e>
                            <m:e>
                              <m:r>
                                <a:rPr lang="en-US" sz="1400" b="1" i="1">
                                  <a:latin typeface="Cambria Math" panose="02040503050406030204" pitchFamily="18" charset="0"/>
                                </a:rPr>
                                <m:t>⋮</m:t>
                              </m:r>
                            </m:e>
                          </m:mr>
                          <m:mr>
                            <m:e>
                              <m:sSub>
                                <m:sSubPr>
                                  <m:ctrlPr>
                                    <a:rPr lang="en-US" sz="1400" b="1" i="1">
                                      <a:latin typeface="Cambria Math" panose="02040503050406030204" pitchFamily="18" charset="0"/>
                                    </a:rPr>
                                  </m:ctrlPr>
                                </m:sSubPr>
                                <m:e>
                                  <m:r>
                                    <a:rPr lang="en-US" sz="1400" b="1" i="1">
                                      <a:latin typeface="Cambria Math" panose="02040503050406030204" pitchFamily="18" charset="0"/>
                                    </a:rPr>
                                    <m:t>𝒋𝒑𝒅</m:t>
                                  </m:r>
                                </m:e>
                                <m:sub>
                                  <m:r>
                                    <a:rPr lang="en-US" sz="1400" b="1" i="1">
                                      <a:latin typeface="Cambria Math" panose="02040503050406030204" pitchFamily="18" charset="0"/>
                                    </a:rPr>
                                    <m:t>𝒎</m:t>
                                  </m:r>
                                  <m:r>
                                    <a:rPr lang="en-US" sz="1400" b="1" i="1">
                                      <a:latin typeface="Cambria Math" panose="02040503050406030204" pitchFamily="18" charset="0"/>
                                    </a:rPr>
                                    <m:t>𝟏</m:t>
                                  </m:r>
                                </m:sub>
                              </m:sSub>
                            </m:e>
                            <m:e>
                              <m:r>
                                <a:rPr lang="en-US" sz="1400" b="1" i="1">
                                  <a:latin typeface="Cambria Math" panose="02040503050406030204" pitchFamily="18" charset="0"/>
                                </a:rPr>
                                <m:t>⋯</m:t>
                              </m:r>
                            </m:e>
                            <m:e>
                              <m:sSub>
                                <m:sSubPr>
                                  <m:ctrlPr>
                                    <a:rPr lang="en-US" sz="1400" b="1" i="1">
                                      <a:latin typeface="Cambria Math" panose="02040503050406030204" pitchFamily="18" charset="0"/>
                                    </a:rPr>
                                  </m:ctrlPr>
                                </m:sSubPr>
                                <m:e>
                                  <m:r>
                                    <a:rPr lang="en-US" sz="1400" b="1" i="1">
                                      <a:latin typeface="Cambria Math" panose="02040503050406030204" pitchFamily="18" charset="0"/>
                                    </a:rPr>
                                    <m:t>𝒋𝒑𝒅</m:t>
                                  </m:r>
                                </m:e>
                                <m:sub>
                                  <m:r>
                                    <a:rPr lang="en-US" sz="1400" b="1" i="1">
                                      <a:latin typeface="Cambria Math" panose="02040503050406030204" pitchFamily="18" charset="0"/>
                                    </a:rPr>
                                    <m:t>𝒎𝒏</m:t>
                                  </m:r>
                                </m:sub>
                              </m:sSub>
                            </m:e>
                          </m:mr>
                        </m:m>
                      </m:e>
                    </m:d>
                  </m:oMath>
                </m:oMathPara>
              </a14:m>
              <a:endParaRPr lang="en-US" sz="1400" b="1"/>
            </a:p>
          </xdr:txBody>
        </xdr:sp>
      </mc:Choice>
      <mc:Fallback xmlns="">
        <xdr:sp macro="" textlink="">
          <xdr:nvSpPr>
            <xdr:cNvPr id="2" name="TextBox 11">
              <a:extLst>
                <a:ext uri="{FF2B5EF4-FFF2-40B4-BE49-F238E27FC236}">
                  <a16:creationId xmlns:a16="http://schemas.microsoft.com/office/drawing/2014/main" id="{3BFE36BF-4026-4C92-6830-81D36E1EC331}"/>
                </a:ext>
              </a:extLst>
            </xdr:cNvPr>
            <xdr:cNvSpPr txBox="1"/>
          </xdr:nvSpPr>
          <xdr:spPr>
            <a:xfrm>
              <a:off x="5130800" y="12141200"/>
              <a:ext cx="6302236" cy="33020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400" b="1" i="0">
                  <a:latin typeface="Cambria Math" panose="02040503050406030204" pitchFamily="18" charset="0"/>
                </a:rPr>
                <a:t>𝑨𝑬𝑷= (∑▒〖𝑷𝑴∗𝑱𝑷𝑫〗)∗𝟖𝟕𝟔𝟎𝐡𝐫/𝐲𝐫</a:t>
              </a:r>
              <a:endParaRPr lang="en-US" sz="1400" b="1">
                <a:latin typeface="+mn-lt"/>
              </a:endParaRPr>
            </a:p>
            <a:p>
              <a:pPr algn="ctr"/>
              <a:endParaRPr lang="en-US" sz="1400" b="1">
                <a:latin typeface="+mn-lt"/>
              </a:endParaRPr>
            </a:p>
            <a:p>
              <a:r>
                <a:rPr lang="en-US" sz="1400" b="1"/>
                <a:t>AEP (Wh/yr) = annual energy production</a:t>
              </a:r>
            </a:p>
            <a:p>
              <a:endParaRPr lang="en-US" sz="1400" b="1"/>
            </a:p>
            <a:p>
              <a:r>
                <a:rPr lang="en-US" sz="1400" b="1"/>
                <a:t>PM (W) = MADWEC’s Power Matrix of size (mn)</a:t>
              </a:r>
            </a:p>
            <a:p>
              <a:pPr/>
              <a:r>
                <a:rPr lang="en-US" sz="1400" b="1" i="0">
                  <a:latin typeface="Cambria Math" panose="02040503050406030204" pitchFamily="18" charset="0"/>
                </a:rPr>
                <a:t>𝑷𝑴= (■8(〖𝒑𝒎〗_𝟏𝟏&amp;⋯&amp;〖𝒑𝒎〗_𝟏𝒏@⋮&amp;⋱&amp;⋮@〖𝒑𝒎〗_𝒎𝟏&amp;⋯&amp;〖𝒑𝒎〗_𝒎𝒏 ))</a:t>
              </a:r>
              <a:endParaRPr lang="en-US" sz="1400" b="1"/>
            </a:p>
            <a:p>
              <a:r>
                <a:rPr lang="en-US" sz="1400" b="1"/>
                <a:t> </a:t>
              </a:r>
            </a:p>
            <a:p>
              <a:r>
                <a:rPr lang="en-US" sz="1400" b="1"/>
                <a:t>JPD (n/a) = Resource’s Joint Probability Distribution matrix of size (mn)</a:t>
              </a:r>
            </a:p>
            <a:p>
              <a:pPr/>
              <a:r>
                <a:rPr lang="en-US" sz="1400" b="1" i="0">
                  <a:latin typeface="Cambria Math" panose="02040503050406030204" pitchFamily="18" charset="0"/>
                </a:rPr>
                <a:t>𝑱𝑷𝑫= (■8(〖𝒋𝒑𝒅〗_𝟏𝟏&amp;⋯&amp;〖𝒋𝒑𝒅〗_𝟏𝒏@⋮&amp;⋱&amp;⋮@〖𝒋𝒑𝒅〗_𝒎𝟏&amp;⋯&amp;〖𝒋𝒑𝒅〗_𝒎𝒏 ))</a:t>
              </a:r>
              <a:endParaRPr lang="en-US" sz="1400" b="1"/>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153942</xdr:colOff>
      <xdr:row>66</xdr:row>
      <xdr:rowOff>166768</xdr:rowOff>
    </xdr:from>
    <xdr:to>
      <xdr:col>19</xdr:col>
      <xdr:colOff>641416</xdr:colOff>
      <xdr:row>75</xdr:row>
      <xdr:rowOff>192424</xdr:rowOff>
    </xdr:to>
    <mc:AlternateContent xmlns:mc="http://schemas.openxmlformats.org/markup-compatibility/2006" xmlns:a14="http://schemas.microsoft.com/office/drawing/2010/main">
      <mc:Choice Requires="a14">
        <xdr:sp macro="" textlink="">
          <xdr:nvSpPr>
            <xdr:cNvPr id="3" name="TextBox 11">
              <a:extLst>
                <a:ext uri="{FF2B5EF4-FFF2-40B4-BE49-F238E27FC236}">
                  <a16:creationId xmlns:a16="http://schemas.microsoft.com/office/drawing/2014/main" id="{CC9FB672-F85B-5B40-A1F3-F340D71B26EC}"/>
                </a:ext>
              </a:extLst>
            </xdr:cNvPr>
            <xdr:cNvSpPr txBox="1"/>
          </xdr:nvSpPr>
          <xdr:spPr>
            <a:xfrm>
              <a:off x="6696366" y="13970000"/>
              <a:ext cx="6478282" cy="221929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14:m>
                <m:oMathPara xmlns:m="http://schemas.openxmlformats.org/officeDocument/2006/math">
                  <m:oMathParaPr>
                    <m:jc m:val="centerGroup"/>
                  </m:oMathParaPr>
                  <m:oMath xmlns:m="http://schemas.openxmlformats.org/officeDocument/2006/math">
                    <m:r>
                      <a:rPr lang="en-US" sz="1400" b="1" i="1">
                        <a:latin typeface="Cambria Math" panose="02040503050406030204" pitchFamily="18" charset="0"/>
                      </a:rPr>
                      <m:t>𝑨𝑬𝑷</m:t>
                    </m:r>
                    <m:r>
                      <a:rPr lang="en-US" sz="1400" b="1" i="1">
                        <a:latin typeface="Cambria Math" panose="02040503050406030204" pitchFamily="18" charset="0"/>
                      </a:rPr>
                      <m:t>=</m:t>
                    </m:r>
                    <m:r>
                      <a:rPr lang="en-US" sz="1400" b="1" i="1">
                        <a:latin typeface="Cambria Math" panose="02040503050406030204" pitchFamily="18" charset="0"/>
                      </a:rPr>
                      <m:t>𝑨</m:t>
                    </m:r>
                    <m:r>
                      <a:rPr lang="en-US" sz="1400" b="1" i="1">
                        <a:latin typeface="Cambria Math" panose="02040503050406030204" pitchFamily="18" charset="0"/>
                      </a:rPr>
                      <m:t>∗</m:t>
                    </m:r>
                    <m:r>
                      <a:rPr lang="en-US" sz="1400" b="1" i="1">
                        <a:latin typeface="Cambria Math" panose="02040503050406030204" pitchFamily="18" charset="0"/>
                      </a:rPr>
                      <m:t>𝒓</m:t>
                    </m:r>
                    <m:r>
                      <a:rPr lang="en-US" sz="1400" b="1" i="1">
                        <a:latin typeface="Cambria Math" panose="02040503050406030204" pitchFamily="18" charset="0"/>
                      </a:rPr>
                      <m:t>∗</m:t>
                    </m:r>
                    <m:r>
                      <a:rPr lang="en-US" sz="1400" b="1" i="1">
                        <a:latin typeface="Cambria Math" panose="02040503050406030204" pitchFamily="18" charset="0"/>
                      </a:rPr>
                      <m:t>𝑯</m:t>
                    </m:r>
                    <m:r>
                      <a:rPr lang="en-US" sz="1400" b="1" i="1">
                        <a:latin typeface="Cambria Math" panose="02040503050406030204" pitchFamily="18" charset="0"/>
                      </a:rPr>
                      <m:t>∗</m:t>
                    </m:r>
                    <m:r>
                      <a:rPr lang="en-US" sz="1400" b="1" i="1">
                        <a:latin typeface="Cambria Math" panose="02040503050406030204" pitchFamily="18" charset="0"/>
                      </a:rPr>
                      <m:t>𝑷𝑹</m:t>
                    </m:r>
                  </m:oMath>
                </m:oMathPara>
              </a14:m>
              <a:endParaRPr lang="en-US" sz="1400" b="1">
                <a:latin typeface="+mn-lt"/>
              </a:endParaRPr>
            </a:p>
            <a:p>
              <a:pPr algn="ctr"/>
              <a:endParaRPr lang="en-US" sz="1400" b="1">
                <a:latin typeface="+mn-lt"/>
              </a:endParaRPr>
            </a:p>
            <a:p>
              <a:r>
                <a:rPr lang="en-US" sz="1400" b="1"/>
                <a:t>AEP (kWh/yr) = annual energy production</a:t>
              </a:r>
            </a:p>
            <a:p>
              <a:r>
                <a:rPr lang="en-US" sz="1400" b="1"/>
                <a:t>A = total</a:t>
              </a:r>
              <a:r>
                <a:rPr lang="en-US" sz="1400" b="1" baseline="0"/>
                <a:t> </a:t>
              </a:r>
              <a:r>
                <a:rPr lang="en-US" sz="1400" b="1"/>
                <a:t>solar panel area (m^2)</a:t>
              </a:r>
            </a:p>
            <a:p>
              <a:pPr algn="ctr"/>
              <a:endParaRPr lang="en-US" sz="1000" b="1"/>
            </a:p>
            <a:p>
              <a:pPr algn="l"/>
              <a:r>
                <a:rPr lang="en-US" sz="1400" b="1"/>
                <a:t>r (n/a) = panel rating (kW) / panel area (m^2) * test</a:t>
              </a:r>
              <a:r>
                <a:rPr lang="en-US" sz="1400" b="1" baseline="0"/>
                <a:t> </a:t>
              </a:r>
              <a:r>
                <a:rPr lang="en-US" sz="1400" b="1"/>
                <a:t>irradiance @ STC (1000W/m^2)</a:t>
              </a:r>
            </a:p>
            <a:p>
              <a:pPr algn="l"/>
              <a:endParaRPr lang="en-US" sz="1000" b="1"/>
            </a:p>
            <a:p>
              <a:pPr marL="0" marR="0" lvl="0" indent="0" algn="l" defTabSz="457200" rtl="0" eaLnBrk="1" fontAlgn="auto" latinLnBrk="0" hangingPunct="1">
                <a:lnSpc>
                  <a:spcPct val="100000"/>
                </a:lnSpc>
                <a:spcBef>
                  <a:spcPts val="0"/>
                </a:spcBef>
                <a:spcAft>
                  <a:spcPts val="0"/>
                </a:spcAft>
                <a:buClrTx/>
                <a:buSzTx/>
                <a:buFontTx/>
                <a:buNone/>
                <a:tabLst/>
                <a:defRPr/>
              </a:pPr>
              <a:r>
                <a:rPr lang="en-US" sz="1400" b="1"/>
                <a:t>H (kW/m2) = Global Horizontal Irradiance</a:t>
              </a: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1000" b="1"/>
            </a:p>
            <a:p>
              <a:pPr marL="0" marR="0" lvl="0" indent="0" algn="l" defTabSz="457200" rtl="0" eaLnBrk="1" fontAlgn="auto" latinLnBrk="0" hangingPunct="1">
                <a:lnSpc>
                  <a:spcPct val="100000"/>
                </a:lnSpc>
                <a:spcBef>
                  <a:spcPts val="0"/>
                </a:spcBef>
                <a:spcAft>
                  <a:spcPts val="0"/>
                </a:spcAft>
                <a:buClrTx/>
                <a:buSzTx/>
                <a:buFontTx/>
                <a:buNone/>
                <a:tabLst/>
                <a:defRPr/>
              </a:pPr>
              <a:r>
                <a:rPr lang="en-US" sz="1400" b="1"/>
                <a:t>PR = performance ratio</a:t>
              </a:r>
            </a:p>
          </xdr:txBody>
        </xdr:sp>
      </mc:Choice>
      <mc:Fallback xmlns="">
        <xdr:sp macro="" textlink="">
          <xdr:nvSpPr>
            <xdr:cNvPr id="3" name="TextBox 11">
              <a:extLst>
                <a:ext uri="{FF2B5EF4-FFF2-40B4-BE49-F238E27FC236}">
                  <a16:creationId xmlns:a16="http://schemas.microsoft.com/office/drawing/2014/main" id="{CC9FB672-F85B-5B40-A1F3-F340D71B26EC}"/>
                </a:ext>
              </a:extLst>
            </xdr:cNvPr>
            <xdr:cNvSpPr txBox="1"/>
          </xdr:nvSpPr>
          <xdr:spPr>
            <a:xfrm>
              <a:off x="6696366" y="13970000"/>
              <a:ext cx="6478282" cy="221929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1400" b="1" i="0">
                  <a:latin typeface="Cambria Math" panose="02040503050406030204" pitchFamily="18" charset="0"/>
                </a:rPr>
                <a:t>𝑨𝑬𝑷=𝑨∗𝒓∗𝑯∗𝑷𝑹</a:t>
              </a:r>
              <a:endParaRPr lang="en-US" sz="1400" b="1">
                <a:latin typeface="+mn-lt"/>
              </a:endParaRPr>
            </a:p>
            <a:p>
              <a:pPr algn="ctr"/>
              <a:endParaRPr lang="en-US" sz="1400" b="1">
                <a:latin typeface="+mn-lt"/>
              </a:endParaRPr>
            </a:p>
            <a:p>
              <a:r>
                <a:rPr lang="en-US" sz="1400" b="1"/>
                <a:t>AEP (kWh/yr) = annual energy production</a:t>
              </a:r>
            </a:p>
            <a:p>
              <a:r>
                <a:rPr lang="en-US" sz="1400" b="1"/>
                <a:t>A = total</a:t>
              </a:r>
              <a:r>
                <a:rPr lang="en-US" sz="1400" b="1" baseline="0"/>
                <a:t> </a:t>
              </a:r>
              <a:r>
                <a:rPr lang="en-US" sz="1400" b="1"/>
                <a:t>solar panel area (m^2)</a:t>
              </a:r>
            </a:p>
            <a:p>
              <a:pPr algn="ctr"/>
              <a:endParaRPr lang="en-US" sz="1000" b="1"/>
            </a:p>
            <a:p>
              <a:pPr algn="l"/>
              <a:r>
                <a:rPr lang="en-US" sz="1400" b="1"/>
                <a:t>r (n/a) = panel rating (kW) / panel area (m^2) * test</a:t>
              </a:r>
              <a:r>
                <a:rPr lang="en-US" sz="1400" b="1" baseline="0"/>
                <a:t> </a:t>
              </a:r>
              <a:r>
                <a:rPr lang="en-US" sz="1400" b="1"/>
                <a:t>irradiance @ STC (1000W/m^2)</a:t>
              </a:r>
            </a:p>
            <a:p>
              <a:pPr algn="l"/>
              <a:endParaRPr lang="en-US" sz="1000" b="1"/>
            </a:p>
            <a:p>
              <a:pPr marL="0" marR="0" lvl="0" indent="0" algn="l" defTabSz="457200" rtl="0" eaLnBrk="1" fontAlgn="auto" latinLnBrk="0" hangingPunct="1">
                <a:lnSpc>
                  <a:spcPct val="100000"/>
                </a:lnSpc>
                <a:spcBef>
                  <a:spcPts val="0"/>
                </a:spcBef>
                <a:spcAft>
                  <a:spcPts val="0"/>
                </a:spcAft>
                <a:buClrTx/>
                <a:buSzTx/>
                <a:buFontTx/>
                <a:buNone/>
                <a:tabLst/>
                <a:defRPr/>
              </a:pPr>
              <a:r>
                <a:rPr lang="en-US" sz="1400" b="1"/>
                <a:t>H (kW/m2) = Global Horizontal Irradiance</a:t>
              </a:r>
            </a:p>
            <a:p>
              <a:pPr marL="0" marR="0" lvl="0" indent="0" algn="l" defTabSz="457200" rtl="0" eaLnBrk="1" fontAlgn="auto" latinLnBrk="0" hangingPunct="1">
                <a:lnSpc>
                  <a:spcPct val="100000"/>
                </a:lnSpc>
                <a:spcBef>
                  <a:spcPts val="0"/>
                </a:spcBef>
                <a:spcAft>
                  <a:spcPts val="0"/>
                </a:spcAft>
                <a:buClrTx/>
                <a:buSzTx/>
                <a:buFontTx/>
                <a:buNone/>
                <a:tabLst/>
                <a:defRPr/>
              </a:pPr>
              <a:endParaRPr lang="en-US" sz="1000" b="1"/>
            </a:p>
            <a:p>
              <a:pPr marL="0" marR="0" lvl="0" indent="0" algn="l" defTabSz="457200" rtl="0" eaLnBrk="1" fontAlgn="auto" latinLnBrk="0" hangingPunct="1">
                <a:lnSpc>
                  <a:spcPct val="100000"/>
                </a:lnSpc>
                <a:spcBef>
                  <a:spcPts val="0"/>
                </a:spcBef>
                <a:spcAft>
                  <a:spcPts val="0"/>
                </a:spcAft>
                <a:buClrTx/>
                <a:buSzTx/>
                <a:buFontTx/>
                <a:buNone/>
                <a:tabLst/>
                <a:defRPr/>
              </a:pPr>
              <a:r>
                <a:rPr lang="en-US" sz="1400" b="1"/>
                <a:t>PR = performance ratio</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1485900</xdr:colOff>
      <xdr:row>11</xdr:row>
      <xdr:rowOff>165100</xdr:rowOff>
    </xdr:from>
    <xdr:to>
      <xdr:col>4</xdr:col>
      <xdr:colOff>317500</xdr:colOff>
      <xdr:row>14</xdr:row>
      <xdr:rowOff>114300</xdr:rowOff>
    </xdr:to>
    <xdr:sp macro="" textlink="">
      <xdr:nvSpPr>
        <xdr:cNvPr id="2" name="TextBox 1">
          <a:extLst>
            <a:ext uri="{FF2B5EF4-FFF2-40B4-BE49-F238E27FC236}">
              <a16:creationId xmlns:a16="http://schemas.microsoft.com/office/drawing/2014/main" id="{81EA1F02-65FE-33D9-D43C-71459F83118E}"/>
            </a:ext>
          </a:extLst>
        </xdr:cNvPr>
        <xdr:cNvSpPr txBox="1"/>
      </xdr:nvSpPr>
      <xdr:spPr>
        <a:xfrm>
          <a:off x="3962400" y="2794000"/>
          <a:ext cx="1473200"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Note</a:t>
          </a:r>
        </a:p>
        <a:p>
          <a:pPr algn="ctr"/>
          <a:r>
            <a:rPr lang="en-US" sz="1100" b="0"/>
            <a:t> 6 * 2months = 1yr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812800</xdr:colOff>
      <xdr:row>0</xdr:row>
      <xdr:rowOff>558800</xdr:rowOff>
    </xdr:from>
    <xdr:to>
      <xdr:col>10</xdr:col>
      <xdr:colOff>622300</xdr:colOff>
      <xdr:row>17</xdr:row>
      <xdr:rowOff>152400</xdr:rowOff>
    </xdr:to>
    <xdr:graphicFrame macro="">
      <xdr:nvGraphicFramePr>
        <xdr:cNvPr id="3" name="Chart 2">
          <a:extLst>
            <a:ext uri="{FF2B5EF4-FFF2-40B4-BE49-F238E27FC236}">
              <a16:creationId xmlns:a16="http://schemas.microsoft.com/office/drawing/2014/main" id="{E46CD699-4B87-BF81-D956-0E6CD8523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61</xdr:row>
      <xdr:rowOff>165100</xdr:rowOff>
    </xdr:from>
    <xdr:to>
      <xdr:col>10</xdr:col>
      <xdr:colOff>673100</xdr:colOff>
      <xdr:row>78</xdr:row>
      <xdr:rowOff>723392</xdr:rowOff>
    </xdr:to>
    <xdr:graphicFrame macro="">
      <xdr:nvGraphicFramePr>
        <xdr:cNvPr id="4" name="Chart 3">
          <a:extLst>
            <a:ext uri="{FF2B5EF4-FFF2-40B4-BE49-F238E27FC236}">
              <a16:creationId xmlns:a16="http://schemas.microsoft.com/office/drawing/2014/main" id="{FC272B90-FA5C-F748-AB49-8B2194577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42624</xdr:colOff>
      <xdr:row>93</xdr:row>
      <xdr:rowOff>225065</xdr:rowOff>
    </xdr:from>
    <xdr:to>
      <xdr:col>10</xdr:col>
      <xdr:colOff>679084</xdr:colOff>
      <xdr:row>109</xdr:row>
      <xdr:rowOff>112532</xdr:rowOff>
    </xdr:to>
    <xdr:graphicFrame macro="">
      <xdr:nvGraphicFramePr>
        <xdr:cNvPr id="2" name="Chart 1">
          <a:extLst>
            <a:ext uri="{FF2B5EF4-FFF2-40B4-BE49-F238E27FC236}">
              <a16:creationId xmlns:a16="http://schemas.microsoft.com/office/drawing/2014/main" id="{3C33C847-8651-D5DB-3A25-B536B0902B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812800</xdr:colOff>
      <xdr:row>41</xdr:row>
      <xdr:rowOff>33867</xdr:rowOff>
    </xdr:from>
    <xdr:to>
      <xdr:col>10</xdr:col>
      <xdr:colOff>622300</xdr:colOff>
      <xdr:row>58</xdr:row>
      <xdr:rowOff>16933</xdr:rowOff>
    </xdr:to>
    <xdr:graphicFrame macro="">
      <xdr:nvGraphicFramePr>
        <xdr:cNvPr id="5" name="Chart 4">
          <a:extLst>
            <a:ext uri="{FF2B5EF4-FFF2-40B4-BE49-F238E27FC236}">
              <a16:creationId xmlns:a16="http://schemas.microsoft.com/office/drawing/2014/main" id="{15B68969-D8EC-F749-9AF2-F51BD357E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159</xdr:row>
      <xdr:rowOff>33866</xdr:rowOff>
    </xdr:from>
    <xdr:to>
      <xdr:col>3</xdr:col>
      <xdr:colOff>1337733</xdr:colOff>
      <xdr:row>177</xdr:row>
      <xdr:rowOff>33867</xdr:rowOff>
    </xdr:to>
    <xdr:graphicFrame macro="">
      <xdr:nvGraphicFramePr>
        <xdr:cNvPr id="7" name="Chart 6">
          <a:extLst>
            <a:ext uri="{FF2B5EF4-FFF2-40B4-BE49-F238E27FC236}">
              <a16:creationId xmlns:a16="http://schemas.microsoft.com/office/drawing/2014/main" id="{2223B571-420B-A07E-F405-F45FC10F7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1490134</xdr:colOff>
      <xdr:row>159</xdr:row>
      <xdr:rowOff>33866</xdr:rowOff>
    </xdr:from>
    <xdr:to>
      <xdr:col>8</xdr:col>
      <xdr:colOff>93134</xdr:colOff>
      <xdr:row>177</xdr:row>
      <xdr:rowOff>33867</xdr:rowOff>
    </xdr:to>
    <xdr:graphicFrame macro="">
      <xdr:nvGraphicFramePr>
        <xdr:cNvPr id="8" name="Chart 7">
          <a:extLst>
            <a:ext uri="{FF2B5EF4-FFF2-40B4-BE49-F238E27FC236}">
              <a16:creationId xmlns:a16="http://schemas.microsoft.com/office/drawing/2014/main" id="{7E80CAD3-B066-4C44-85A0-9A404D57C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220133</xdr:colOff>
      <xdr:row>159</xdr:row>
      <xdr:rowOff>33866</xdr:rowOff>
    </xdr:from>
    <xdr:to>
      <xdr:col>13</xdr:col>
      <xdr:colOff>330200</xdr:colOff>
      <xdr:row>177</xdr:row>
      <xdr:rowOff>33867</xdr:rowOff>
    </xdr:to>
    <xdr:graphicFrame macro="">
      <xdr:nvGraphicFramePr>
        <xdr:cNvPr id="9" name="Chart 8">
          <a:extLst>
            <a:ext uri="{FF2B5EF4-FFF2-40B4-BE49-F238E27FC236}">
              <a16:creationId xmlns:a16="http://schemas.microsoft.com/office/drawing/2014/main" id="{8EDCF4BF-2C26-004D-857D-D5B457332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67734</xdr:colOff>
      <xdr:row>177</xdr:row>
      <xdr:rowOff>237067</xdr:rowOff>
    </xdr:from>
    <xdr:to>
      <xdr:col>3</xdr:col>
      <xdr:colOff>1329267</xdr:colOff>
      <xdr:row>198</xdr:row>
      <xdr:rowOff>50800</xdr:rowOff>
    </xdr:to>
    <xdr:graphicFrame macro="">
      <xdr:nvGraphicFramePr>
        <xdr:cNvPr id="6" name="Chart 5">
          <a:extLst>
            <a:ext uri="{FF2B5EF4-FFF2-40B4-BE49-F238E27FC236}">
              <a16:creationId xmlns:a16="http://schemas.microsoft.com/office/drawing/2014/main" id="{C7ABF18F-6993-354E-9986-6827F2E55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1507066</xdr:colOff>
      <xdr:row>178</xdr:row>
      <xdr:rowOff>0</xdr:rowOff>
    </xdr:from>
    <xdr:to>
      <xdr:col>8</xdr:col>
      <xdr:colOff>110066</xdr:colOff>
      <xdr:row>198</xdr:row>
      <xdr:rowOff>67733</xdr:rowOff>
    </xdr:to>
    <xdr:graphicFrame macro="">
      <xdr:nvGraphicFramePr>
        <xdr:cNvPr id="11" name="Chart 10">
          <a:extLst>
            <a:ext uri="{FF2B5EF4-FFF2-40B4-BE49-F238E27FC236}">
              <a16:creationId xmlns:a16="http://schemas.microsoft.com/office/drawing/2014/main" id="{19AF5163-6398-FF43-8843-A22B578CA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1507066</xdr:colOff>
      <xdr:row>199</xdr:row>
      <xdr:rowOff>33868</xdr:rowOff>
    </xdr:from>
    <xdr:to>
      <xdr:col>8</xdr:col>
      <xdr:colOff>110066</xdr:colOff>
      <xdr:row>219</xdr:row>
      <xdr:rowOff>45358</xdr:rowOff>
    </xdr:to>
    <xdr:graphicFrame macro="">
      <xdr:nvGraphicFramePr>
        <xdr:cNvPr id="12" name="Chart 11">
          <a:extLst>
            <a:ext uri="{FF2B5EF4-FFF2-40B4-BE49-F238E27FC236}">
              <a16:creationId xmlns:a16="http://schemas.microsoft.com/office/drawing/2014/main" id="{5FDEF1BC-4CB2-524F-8E44-8E96D98D0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237066</xdr:colOff>
      <xdr:row>178</xdr:row>
      <xdr:rowOff>1</xdr:rowOff>
    </xdr:from>
    <xdr:to>
      <xdr:col>13</xdr:col>
      <xdr:colOff>347133</xdr:colOff>
      <xdr:row>198</xdr:row>
      <xdr:rowOff>67734</xdr:rowOff>
    </xdr:to>
    <xdr:graphicFrame macro="">
      <xdr:nvGraphicFramePr>
        <xdr:cNvPr id="13" name="Chart 12">
          <a:extLst>
            <a:ext uri="{FF2B5EF4-FFF2-40B4-BE49-F238E27FC236}">
              <a16:creationId xmlns:a16="http://schemas.microsoft.com/office/drawing/2014/main" id="{19AF4291-58B9-E04F-9725-24AC64143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254001</xdr:colOff>
      <xdr:row>199</xdr:row>
      <xdr:rowOff>33868</xdr:rowOff>
    </xdr:from>
    <xdr:to>
      <xdr:col>13</xdr:col>
      <xdr:colOff>364068</xdr:colOff>
      <xdr:row>219</xdr:row>
      <xdr:rowOff>45358</xdr:rowOff>
    </xdr:to>
    <xdr:graphicFrame macro="">
      <xdr:nvGraphicFramePr>
        <xdr:cNvPr id="14" name="Chart 13">
          <a:extLst>
            <a:ext uri="{FF2B5EF4-FFF2-40B4-BE49-F238E27FC236}">
              <a16:creationId xmlns:a16="http://schemas.microsoft.com/office/drawing/2014/main" id="{444C36E0-E4A1-6B43-B03F-FF7305A6A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68035</xdr:colOff>
      <xdr:row>199</xdr:row>
      <xdr:rowOff>22678</xdr:rowOff>
    </xdr:from>
    <xdr:to>
      <xdr:col>3</xdr:col>
      <xdr:colOff>1329568</xdr:colOff>
      <xdr:row>219</xdr:row>
      <xdr:rowOff>55939</xdr:rowOff>
    </xdr:to>
    <xdr:graphicFrame macro="">
      <xdr:nvGraphicFramePr>
        <xdr:cNvPr id="15" name="Chart 14">
          <a:extLst>
            <a:ext uri="{FF2B5EF4-FFF2-40B4-BE49-F238E27FC236}">
              <a16:creationId xmlns:a16="http://schemas.microsoft.com/office/drawing/2014/main" id="{5C345155-6A0E-5646-8B41-EF2EBD2E8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56444</xdr:colOff>
      <xdr:row>224</xdr:row>
      <xdr:rowOff>112889</xdr:rowOff>
    </xdr:from>
    <xdr:to>
      <xdr:col>3</xdr:col>
      <xdr:colOff>1317977</xdr:colOff>
      <xdr:row>243</xdr:row>
      <xdr:rowOff>506</xdr:rowOff>
    </xdr:to>
    <xdr:graphicFrame macro="">
      <xdr:nvGraphicFramePr>
        <xdr:cNvPr id="10" name="Chart 9">
          <a:extLst>
            <a:ext uri="{FF2B5EF4-FFF2-40B4-BE49-F238E27FC236}">
              <a16:creationId xmlns:a16="http://schemas.microsoft.com/office/drawing/2014/main" id="{59343F9F-C49F-D945-93F5-43D31E9BA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1473201</xdr:colOff>
      <xdr:row>224</xdr:row>
      <xdr:rowOff>118534</xdr:rowOff>
    </xdr:from>
    <xdr:to>
      <xdr:col>8</xdr:col>
      <xdr:colOff>76201</xdr:colOff>
      <xdr:row>242</xdr:row>
      <xdr:rowOff>222350</xdr:rowOff>
    </xdr:to>
    <xdr:graphicFrame macro="">
      <xdr:nvGraphicFramePr>
        <xdr:cNvPr id="16" name="Chart 15">
          <a:extLst>
            <a:ext uri="{FF2B5EF4-FFF2-40B4-BE49-F238E27FC236}">
              <a16:creationId xmlns:a16="http://schemas.microsoft.com/office/drawing/2014/main" id="{4C57FE92-E0D9-3142-AD44-752D0B95A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254000</xdr:colOff>
      <xdr:row>224</xdr:row>
      <xdr:rowOff>135467</xdr:rowOff>
    </xdr:from>
    <xdr:to>
      <xdr:col>13</xdr:col>
      <xdr:colOff>364067</xdr:colOff>
      <xdr:row>242</xdr:row>
      <xdr:rowOff>239283</xdr:rowOff>
    </xdr:to>
    <xdr:graphicFrame macro="">
      <xdr:nvGraphicFramePr>
        <xdr:cNvPr id="17" name="Chart 16">
          <a:extLst>
            <a:ext uri="{FF2B5EF4-FFF2-40B4-BE49-F238E27FC236}">
              <a16:creationId xmlns:a16="http://schemas.microsoft.com/office/drawing/2014/main" id="{DC4BBB78-B850-C54F-AD68-B5D78FF40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16933</xdr:colOff>
      <xdr:row>247</xdr:row>
      <xdr:rowOff>16933</xdr:rowOff>
    </xdr:from>
    <xdr:to>
      <xdr:col>3</xdr:col>
      <xdr:colOff>1278466</xdr:colOff>
      <xdr:row>265</xdr:row>
      <xdr:rowOff>78416</xdr:rowOff>
    </xdr:to>
    <xdr:graphicFrame macro="">
      <xdr:nvGraphicFramePr>
        <xdr:cNvPr id="18" name="Chart 17">
          <a:extLst>
            <a:ext uri="{FF2B5EF4-FFF2-40B4-BE49-F238E27FC236}">
              <a16:creationId xmlns:a16="http://schemas.microsoft.com/office/drawing/2014/main" id="{598BFDCE-1941-884B-A15E-107E88EA9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1507067</xdr:colOff>
      <xdr:row>247</xdr:row>
      <xdr:rowOff>16933</xdr:rowOff>
    </xdr:from>
    <xdr:to>
      <xdr:col>8</xdr:col>
      <xdr:colOff>110067</xdr:colOff>
      <xdr:row>265</xdr:row>
      <xdr:rowOff>84666</xdr:rowOff>
    </xdr:to>
    <xdr:graphicFrame macro="">
      <xdr:nvGraphicFramePr>
        <xdr:cNvPr id="19" name="Chart 18">
          <a:extLst>
            <a:ext uri="{FF2B5EF4-FFF2-40B4-BE49-F238E27FC236}">
              <a16:creationId xmlns:a16="http://schemas.microsoft.com/office/drawing/2014/main" id="{448EDAF0-927C-E740-A071-EC62B8586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287867</xdr:colOff>
      <xdr:row>247</xdr:row>
      <xdr:rowOff>33867</xdr:rowOff>
    </xdr:from>
    <xdr:to>
      <xdr:col>13</xdr:col>
      <xdr:colOff>397934</xdr:colOff>
      <xdr:row>265</xdr:row>
      <xdr:rowOff>101600</xdr:rowOff>
    </xdr:to>
    <xdr:graphicFrame macro="">
      <xdr:nvGraphicFramePr>
        <xdr:cNvPr id="20" name="Chart 19">
          <a:extLst>
            <a:ext uri="{FF2B5EF4-FFF2-40B4-BE49-F238E27FC236}">
              <a16:creationId xmlns:a16="http://schemas.microsoft.com/office/drawing/2014/main" id="{669EC67C-D259-F149-8D97-5C9517823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64304</xdr:colOff>
      <xdr:row>111</xdr:row>
      <xdr:rowOff>96456</xdr:rowOff>
    </xdr:from>
    <xdr:to>
      <xdr:col>10</xdr:col>
      <xdr:colOff>700764</xdr:colOff>
      <xdr:row>130</xdr:row>
      <xdr:rowOff>48228</xdr:rowOff>
    </xdr:to>
    <xdr:graphicFrame macro="">
      <xdr:nvGraphicFramePr>
        <xdr:cNvPr id="21" name="Chart 20">
          <a:extLst>
            <a:ext uri="{FF2B5EF4-FFF2-40B4-BE49-F238E27FC236}">
              <a16:creationId xmlns:a16="http://schemas.microsoft.com/office/drawing/2014/main" id="{C54F3337-F50F-6045-BBD3-F126FE008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132</xdr:row>
      <xdr:rowOff>0</xdr:rowOff>
    </xdr:from>
    <xdr:to>
      <xdr:col>10</xdr:col>
      <xdr:colOff>636460</xdr:colOff>
      <xdr:row>152</xdr:row>
      <xdr:rowOff>16075</xdr:rowOff>
    </xdr:to>
    <xdr:graphicFrame macro="">
      <xdr:nvGraphicFramePr>
        <xdr:cNvPr id="22" name="Chart 21">
          <a:extLst>
            <a:ext uri="{FF2B5EF4-FFF2-40B4-BE49-F238E27FC236}">
              <a16:creationId xmlns:a16="http://schemas.microsoft.com/office/drawing/2014/main" id="{8B14F534-6A1E-3642-A8D7-AE243D654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26</xdr:row>
      <xdr:rowOff>0</xdr:rowOff>
    </xdr:from>
    <xdr:to>
      <xdr:col>10</xdr:col>
      <xdr:colOff>635000</xdr:colOff>
      <xdr:row>37</xdr:row>
      <xdr:rowOff>165100</xdr:rowOff>
    </xdr:to>
    <xdr:graphicFrame macro="">
      <xdr:nvGraphicFramePr>
        <xdr:cNvPr id="23" name="Chart 22">
          <a:extLst>
            <a:ext uri="{FF2B5EF4-FFF2-40B4-BE49-F238E27FC236}">
              <a16:creationId xmlns:a16="http://schemas.microsoft.com/office/drawing/2014/main" id="{16B24CAF-A30F-4846-AD33-D9BF048AF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Ortega, Tina" id="{4A16AD79-85E5-E440-A2AB-EFC12DA9A083}" userId="cortega@nrel.gov" providerId="PeoplePicker"/>
  <person displayName="Baca, Elena" id="{2B27DA88-25D5-C544-982E-FA05DF1D3D1F}" userId="S::ebaca@nrel.gov::f42690d0-5b6b-45eb-a2f4-2faeb097580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65" dT="2024-02-09T18:29:32.89" personId="{2B27DA88-25D5-C544-982E-FA05DF1D3D1F}" id="{42883263-6389-2744-8DAE-117E39FD10A0}">
    <text>@Ortega, Tina why is AUV install ops so much longer?</text>
    <mentions>
      <mention mentionpersonId="{4A16AD79-85E5-E440-A2AB-EFC12DA9A083}" mentionId="{22377B18-4984-DE4A-A65D-848F3ED447E5}" startIndex="0" length="1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ondrivesus.com/friction-clutches-adjustable-fixed-torque/low-backlash-up-to-750-inlb/EAS52.5353" TargetMode="External"/><Relationship Id="rId7" Type="http://schemas.openxmlformats.org/officeDocument/2006/relationships/hyperlink" Target="https://www.rope.com/products/amsteel-blue-winch-line?variant=39258120978466" TargetMode="External"/><Relationship Id="rId2" Type="http://schemas.openxmlformats.org/officeDocument/2006/relationships/hyperlink" Target="https://www.grainger.com/product/KOYO-Needle-Roller-Bearing-FC-779KA8" TargetMode="External"/><Relationship Id="rId1" Type="http://schemas.openxmlformats.org/officeDocument/2006/relationships/hyperlink" Target="https://www.ondrivesus.com/in-line-gearboxes/in-line-spur-gear/nt62-10" TargetMode="External"/><Relationship Id="rId6" Type="http://schemas.openxmlformats.org/officeDocument/2006/relationships/hyperlink" Target="https://www.qcsupply.com/10873-12-10-pvc-50-lb-duct-pipe.html?utm_medium=cpc&amp;utm_source=google&amp;utm_campaign=&amp;utm_content=&amp;utm_term=&amp;gad_source=1&amp;gclid=CjwKCAiAhJWsBhAaEiwAmrNyq92IMz_ya5jfgRlY-KoFJWkFjKlvt9f9IGpzt4fX8m7RTCFd9Fk7tRoC1WAQAvD_BwE" TargetMode="External"/><Relationship Id="rId5" Type="http://schemas.openxmlformats.org/officeDocument/2006/relationships/hyperlink" Target="https://www.ato.com/600w-72v-brushless-dc-motor" TargetMode="External"/><Relationship Id="rId4" Type="http://schemas.openxmlformats.org/officeDocument/2006/relationships/hyperlink" Target="https://www.homedepot.com/p/Prime-Line-Garage-Door-Torsion-Spring-0-250-in-x-2-in-x-32-in-Green-Right-Hand-Wind-GD-12234/202633648?source=shoppingads&amp;locale=en-US&amp;srsltid=AfmBOor-n3fiet0blNGiWqHcgF-c14fT34O47vHSZNRDGG4icpouGKihKe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npshistory.com/brochures/nwr/tiglax.pdf" TargetMode="External"/><Relationship Id="rId2" Type="http://schemas.openxmlformats.org/officeDocument/2006/relationships/hyperlink" Target="https://www.whoi.edu/what-we-do/explore/ships/ships-tioga/" TargetMode="External"/><Relationship Id="rId1" Type="http://schemas.openxmlformats.org/officeDocument/2006/relationships/hyperlink" Target="https://www.whoi.edu/what-we-do/explore/ships/ships-tioga/"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hyperlink" Target="https://www.rope.com/products/amsteel-blue-winch-line?variant=39258120978466" TargetMode="External"/><Relationship Id="rId1" Type="http://schemas.openxmlformats.org/officeDocument/2006/relationships/hyperlink" Target="https://osil.com/product/osil-3-0m-metocean-albatross-buoy/"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npshistory.com/brochures/nwr/tiglax.pdf" TargetMode="External"/><Relationship Id="rId2" Type="http://schemas.openxmlformats.org/officeDocument/2006/relationships/hyperlink" Target="https://www.whoi.edu/what-we-do/explore/ships/ships-tioga/" TargetMode="External"/><Relationship Id="rId1" Type="http://schemas.openxmlformats.org/officeDocument/2006/relationships/hyperlink" Target="https://www.whoi.edu/what-we-do/explore/ships/ships-tioga/"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sunbasedata.com/how-to-calculate-solar-panel-output" TargetMode="External"/><Relationship Id="rId7" Type="http://schemas.openxmlformats.org/officeDocument/2006/relationships/hyperlink" Target="https://www.linkedin.com/pulse/how-calculate-annual-solar-energy-output-photovoltaic-paul-asikoyo?trk=article-ssr-frontend-pulse_more-articles_related-content-card" TargetMode="External"/><Relationship Id="rId2" Type="http://schemas.openxmlformats.org/officeDocument/2006/relationships/hyperlink" Target="https://www.saurenergy.com/solar-energy-blog/here-is-how-you-can-calculate-the-annual-solar-energy-output-of-a-photovoltaic-system" TargetMode="External"/><Relationship Id="rId1" Type="http://schemas.openxmlformats.org/officeDocument/2006/relationships/hyperlink" Target="https://iopscience.iop.org/article/10.1088/1742-6596/710/1/012032/pdf" TargetMode="External"/><Relationship Id="rId6" Type="http://schemas.openxmlformats.org/officeDocument/2006/relationships/hyperlink" Target="https://photovoltaic-software.com/principle-ressources/how-calculate-solar-energy-power-pv-systems" TargetMode="External"/><Relationship Id="rId5" Type="http://schemas.openxmlformats.org/officeDocument/2006/relationships/hyperlink" Target="https://www.epa.gov/green-power-markets/green-power-equivalency-calculator-calculations-and-references" TargetMode="External"/><Relationship Id="rId4" Type="http://schemas.openxmlformats.org/officeDocument/2006/relationships/hyperlink" Target="https://eepower.com/technical-articles/how-is-solar-panel-efficiency-measured/"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renogy.com/24v-200ah-core-series-deep-cycle-lithium-iron-phosphate/" TargetMode="External"/><Relationship Id="rId2" Type="http://schemas.openxmlformats.org/officeDocument/2006/relationships/hyperlink" Target="https://www.nauticexpo.com/prod/pharos-marine-automatic-power/product-200161-577986.html" TargetMode="External"/><Relationship Id="rId1" Type="http://schemas.openxmlformats.org/officeDocument/2006/relationships/hyperlink" Target="https://www.rope.com/products/amsteel-blue-winch-line?variant=39258120978466"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D7CA-610C-6F40-A09E-1FB2F1F11D75}">
  <sheetPr>
    <tabColor rgb="FFF7E0E0"/>
  </sheetPr>
  <dimension ref="B1:AD72"/>
  <sheetViews>
    <sheetView zoomScaleNormal="100" workbookViewId="0">
      <selection activeCell="S52" sqref="S52"/>
    </sheetView>
  </sheetViews>
  <sheetFormatPr baseColWidth="10" defaultRowHeight="15" x14ac:dyDescent="0.2"/>
  <cols>
    <col min="1" max="1" width="10.83203125" style="1"/>
    <col min="2" max="2" width="5.5" style="1" customWidth="1"/>
    <col min="3" max="3" width="6.83203125" style="1" customWidth="1"/>
    <col min="4" max="4" width="2.5" style="1" customWidth="1"/>
    <col min="5" max="5" width="2.33203125" style="1" customWidth="1"/>
    <col min="6" max="11" width="10.83203125" style="1"/>
    <col min="12" max="12" width="14.5" style="1" customWidth="1"/>
    <col min="13" max="13" width="4.1640625" style="1" customWidth="1"/>
    <col min="14" max="16384" width="10.83203125" style="1"/>
  </cols>
  <sheetData>
    <row r="1" spans="2:30" ht="16" thickBot="1" x14ac:dyDescent="0.25"/>
    <row r="2" spans="2:30" ht="19" customHeight="1" x14ac:dyDescent="0.2">
      <c r="B2" s="731" t="s">
        <v>19</v>
      </c>
      <c r="C2" s="732"/>
      <c r="D2" s="732"/>
      <c r="E2" s="732"/>
      <c r="F2" s="732"/>
      <c r="G2" s="732"/>
      <c r="H2" s="732"/>
      <c r="I2" s="732"/>
      <c r="J2" s="732"/>
      <c r="K2" s="732"/>
      <c r="L2" s="732"/>
      <c r="M2" s="733"/>
    </row>
    <row r="3" spans="2:30" x14ac:dyDescent="0.2">
      <c r="B3" s="734"/>
      <c r="C3" s="735"/>
      <c r="D3" s="735"/>
      <c r="E3" s="735"/>
      <c r="F3" s="735"/>
      <c r="G3" s="735"/>
      <c r="H3" s="735"/>
      <c r="I3" s="735"/>
      <c r="J3" s="735"/>
      <c r="K3" s="735"/>
      <c r="L3" s="735"/>
      <c r="M3" s="736"/>
    </row>
    <row r="4" spans="2:30" ht="15" customHeight="1" x14ac:dyDescent="0.2">
      <c r="B4" s="139"/>
      <c r="C4" s="756" t="s">
        <v>621</v>
      </c>
      <c r="D4" s="756"/>
      <c r="E4" s="756"/>
      <c r="F4" s="756"/>
      <c r="G4" s="756"/>
      <c r="H4" s="756"/>
      <c r="I4" s="756"/>
      <c r="J4" s="756"/>
      <c r="K4" s="756"/>
      <c r="L4" s="756"/>
      <c r="M4" s="148"/>
    </row>
    <row r="5" spans="2:30" x14ac:dyDescent="0.2">
      <c r="B5" s="147"/>
      <c r="C5" s="756"/>
      <c r="D5" s="756"/>
      <c r="E5" s="756"/>
      <c r="F5" s="756"/>
      <c r="G5" s="756"/>
      <c r="H5" s="756"/>
      <c r="I5" s="756"/>
      <c r="J5" s="756"/>
      <c r="K5" s="756"/>
      <c r="L5" s="756"/>
      <c r="M5" s="148"/>
    </row>
    <row r="6" spans="2:30" x14ac:dyDescent="0.2">
      <c r="B6" s="147"/>
      <c r="C6" s="756"/>
      <c r="D6" s="756"/>
      <c r="E6" s="756"/>
      <c r="F6" s="756"/>
      <c r="G6" s="756"/>
      <c r="H6" s="756"/>
      <c r="I6" s="756"/>
      <c r="J6" s="756"/>
      <c r="K6" s="756"/>
      <c r="L6" s="756"/>
      <c r="M6" s="148"/>
    </row>
    <row r="7" spans="2:30" x14ac:dyDescent="0.2">
      <c r="B7" s="147"/>
      <c r="C7" s="756"/>
      <c r="D7" s="756"/>
      <c r="E7" s="756"/>
      <c r="F7" s="756"/>
      <c r="G7" s="756"/>
      <c r="H7" s="756"/>
      <c r="I7" s="756"/>
      <c r="J7" s="756"/>
      <c r="K7" s="756"/>
      <c r="L7" s="756"/>
      <c r="M7" s="148"/>
      <c r="O7" s="720"/>
      <c r="P7" s="721"/>
      <c r="Q7" s="721"/>
      <c r="R7" s="721"/>
      <c r="S7" s="721"/>
      <c r="T7" s="721"/>
      <c r="U7" s="721"/>
      <c r="V7" s="721"/>
      <c r="W7" s="721"/>
      <c r="X7" s="721"/>
      <c r="Y7" s="721"/>
      <c r="Z7" s="721"/>
      <c r="AA7" s="721"/>
      <c r="AB7" s="721"/>
      <c r="AC7" s="721"/>
      <c r="AD7" s="722"/>
    </row>
    <row r="8" spans="2:30" x14ac:dyDescent="0.2">
      <c r="B8" s="147"/>
      <c r="C8" s="756"/>
      <c r="D8" s="756"/>
      <c r="E8" s="756"/>
      <c r="F8" s="756"/>
      <c r="G8" s="756"/>
      <c r="H8" s="756"/>
      <c r="I8" s="756"/>
      <c r="J8" s="756"/>
      <c r="K8" s="756"/>
      <c r="L8" s="756"/>
      <c r="M8" s="148"/>
      <c r="O8" s="723"/>
      <c r="P8" s="724"/>
      <c r="Q8" s="724"/>
      <c r="R8" s="724"/>
      <c r="S8" s="724"/>
      <c r="T8" s="724"/>
      <c r="U8" s="724"/>
      <c r="V8" s="724"/>
      <c r="W8" s="724"/>
      <c r="X8" s="724"/>
      <c r="Y8" s="724"/>
      <c r="Z8" s="724"/>
      <c r="AA8" s="724"/>
      <c r="AB8" s="724"/>
      <c r="AC8" s="724"/>
      <c r="AD8" s="725"/>
    </row>
    <row r="9" spans="2:30" x14ac:dyDescent="0.2">
      <c r="B9" s="147"/>
      <c r="C9" s="756"/>
      <c r="D9" s="756"/>
      <c r="E9" s="756"/>
      <c r="F9" s="756"/>
      <c r="G9" s="756"/>
      <c r="H9" s="756"/>
      <c r="I9" s="756"/>
      <c r="J9" s="756"/>
      <c r="K9" s="756"/>
      <c r="L9" s="756"/>
      <c r="M9" s="148"/>
      <c r="O9" s="723"/>
      <c r="P9" s="724"/>
      <c r="Q9" s="724"/>
      <c r="R9" s="724"/>
      <c r="S9" s="724"/>
      <c r="T9" s="724"/>
      <c r="U9" s="724"/>
      <c r="V9" s="724"/>
      <c r="W9" s="724"/>
      <c r="X9" s="724"/>
      <c r="Y9" s="724"/>
      <c r="Z9" s="724"/>
      <c r="AA9" s="724"/>
      <c r="AB9" s="724"/>
      <c r="AC9" s="724"/>
      <c r="AD9" s="725"/>
    </row>
    <row r="10" spans="2:30" x14ac:dyDescent="0.2">
      <c r="B10" s="147"/>
      <c r="C10" s="756"/>
      <c r="D10" s="756"/>
      <c r="E10" s="756"/>
      <c r="F10" s="756"/>
      <c r="G10" s="756"/>
      <c r="H10" s="756"/>
      <c r="I10" s="756"/>
      <c r="J10" s="756"/>
      <c r="K10" s="756"/>
      <c r="L10" s="756"/>
      <c r="M10" s="148"/>
      <c r="O10" s="723"/>
      <c r="P10" s="724"/>
      <c r="Q10" s="724"/>
      <c r="R10" s="724"/>
      <c r="S10" s="724"/>
      <c r="T10" s="724"/>
      <c r="U10" s="724"/>
      <c r="V10" s="724"/>
      <c r="W10" s="724"/>
      <c r="X10" s="724"/>
      <c r="Y10" s="724"/>
      <c r="Z10" s="724"/>
      <c r="AA10" s="724"/>
      <c r="AB10" s="724"/>
      <c r="AC10" s="724"/>
      <c r="AD10" s="725"/>
    </row>
    <row r="11" spans="2:30" x14ac:dyDescent="0.2">
      <c r="B11" s="147"/>
      <c r="C11" s="756"/>
      <c r="D11" s="756"/>
      <c r="E11" s="756"/>
      <c r="F11" s="756"/>
      <c r="G11" s="756"/>
      <c r="H11" s="756"/>
      <c r="I11" s="756"/>
      <c r="J11" s="756"/>
      <c r="K11" s="756"/>
      <c r="L11" s="756"/>
      <c r="M11" s="148"/>
      <c r="O11" s="723"/>
      <c r="P11" s="724"/>
      <c r="Q11" s="724"/>
      <c r="R11" s="724"/>
      <c r="S11" s="724"/>
      <c r="T11" s="724"/>
      <c r="U11" s="724"/>
      <c r="V11" s="724"/>
      <c r="W11" s="724"/>
      <c r="X11" s="724"/>
      <c r="Y11" s="724"/>
      <c r="Z11" s="724"/>
      <c r="AA11" s="724"/>
      <c r="AB11" s="724"/>
      <c r="AC11" s="724"/>
      <c r="AD11" s="725"/>
    </row>
    <row r="12" spans="2:30" x14ac:dyDescent="0.2">
      <c r="B12" s="147"/>
      <c r="C12" s="756"/>
      <c r="D12" s="756"/>
      <c r="E12" s="756"/>
      <c r="F12" s="756"/>
      <c r="G12" s="756"/>
      <c r="H12" s="756"/>
      <c r="I12" s="756"/>
      <c r="J12" s="756"/>
      <c r="K12" s="756"/>
      <c r="L12" s="756"/>
      <c r="M12" s="148"/>
      <c r="O12" s="723"/>
      <c r="P12" s="724"/>
      <c r="Q12" s="724"/>
      <c r="R12" s="724"/>
      <c r="S12" s="724"/>
      <c r="T12" s="724"/>
      <c r="U12" s="724"/>
      <c r="V12" s="724"/>
      <c r="W12" s="724"/>
      <c r="X12" s="724"/>
      <c r="Y12" s="724"/>
      <c r="Z12" s="724"/>
      <c r="AA12" s="724"/>
      <c r="AB12" s="724"/>
      <c r="AC12" s="724"/>
      <c r="AD12" s="725"/>
    </row>
    <row r="13" spans="2:30" x14ac:dyDescent="0.2">
      <c r="B13" s="147"/>
      <c r="C13" s="756"/>
      <c r="D13" s="756"/>
      <c r="E13" s="756"/>
      <c r="F13" s="756"/>
      <c r="G13" s="756"/>
      <c r="H13" s="756"/>
      <c r="I13" s="756"/>
      <c r="J13" s="756"/>
      <c r="K13" s="756"/>
      <c r="L13" s="756"/>
      <c r="M13" s="148"/>
      <c r="O13" s="723"/>
      <c r="P13" s="724"/>
      <c r="Q13" s="724"/>
      <c r="R13" s="724"/>
      <c r="S13" s="724"/>
      <c r="T13" s="724"/>
      <c r="U13" s="724"/>
      <c r="V13" s="724"/>
      <c r="W13" s="724"/>
      <c r="X13" s="724"/>
      <c r="Y13" s="724"/>
      <c r="Z13" s="724"/>
      <c r="AA13" s="724"/>
      <c r="AB13" s="724"/>
      <c r="AC13" s="724"/>
      <c r="AD13" s="725"/>
    </row>
    <row r="14" spans="2:30" ht="23" customHeight="1" x14ac:dyDescent="0.2">
      <c r="B14" s="147"/>
      <c r="C14" s="756"/>
      <c r="D14" s="756"/>
      <c r="E14" s="756"/>
      <c r="F14" s="756"/>
      <c r="G14" s="756"/>
      <c r="H14" s="756"/>
      <c r="I14" s="756"/>
      <c r="J14" s="756"/>
      <c r="K14" s="756"/>
      <c r="L14" s="756"/>
      <c r="M14" s="148"/>
      <c r="O14" s="723"/>
      <c r="P14" s="724"/>
      <c r="Q14" s="724"/>
      <c r="R14" s="724"/>
      <c r="S14" s="724"/>
      <c r="T14" s="724"/>
      <c r="U14" s="724"/>
      <c r="V14" s="724"/>
      <c r="W14" s="724"/>
      <c r="X14" s="724"/>
      <c r="Y14" s="724"/>
      <c r="Z14" s="724"/>
      <c r="AA14" s="724"/>
      <c r="AB14" s="724"/>
      <c r="AC14" s="724"/>
      <c r="AD14" s="725"/>
    </row>
    <row r="15" spans="2:30" ht="16" thickBot="1" x14ac:dyDescent="0.25">
      <c r="B15" s="149"/>
      <c r="C15" s="150"/>
      <c r="D15" s="150"/>
      <c r="E15" s="150"/>
      <c r="F15" s="150"/>
      <c r="G15" s="150"/>
      <c r="H15" s="150"/>
      <c r="I15" s="150"/>
      <c r="J15" s="150"/>
      <c r="K15" s="150"/>
      <c r="L15" s="150"/>
      <c r="M15" s="151"/>
      <c r="O15" s="723"/>
      <c r="P15" s="724"/>
      <c r="Q15" s="724"/>
      <c r="R15" s="724"/>
      <c r="S15" s="724"/>
      <c r="T15" s="724"/>
      <c r="U15" s="724"/>
      <c r="V15" s="724"/>
      <c r="W15" s="724"/>
      <c r="X15" s="724"/>
      <c r="Y15" s="724"/>
      <c r="Z15" s="724"/>
      <c r="AA15" s="724"/>
      <c r="AB15" s="724"/>
      <c r="AC15" s="724"/>
      <c r="AD15" s="725"/>
    </row>
    <row r="16" spans="2:30" x14ac:dyDescent="0.2">
      <c r="B16" s="92"/>
      <c r="C16" s="92"/>
      <c r="D16" s="92"/>
      <c r="E16" s="92"/>
      <c r="F16" s="92"/>
      <c r="G16" s="92"/>
      <c r="H16" s="92"/>
      <c r="I16" s="92"/>
      <c r="J16" s="92"/>
      <c r="K16" s="92"/>
      <c r="L16" s="92"/>
      <c r="M16" s="92"/>
      <c r="O16" s="723"/>
      <c r="P16" s="724"/>
      <c r="Q16" s="724"/>
      <c r="R16" s="724"/>
      <c r="S16" s="724"/>
      <c r="T16" s="724"/>
      <c r="U16" s="724"/>
      <c r="V16" s="724"/>
      <c r="W16" s="724"/>
      <c r="X16" s="724"/>
      <c r="Y16" s="724"/>
      <c r="Z16" s="724"/>
      <c r="AA16" s="724"/>
      <c r="AB16" s="724"/>
      <c r="AC16" s="724"/>
      <c r="AD16" s="725"/>
    </row>
    <row r="17" spans="2:30" ht="16" thickBot="1" x14ac:dyDescent="0.25">
      <c r="O17" s="723"/>
      <c r="P17" s="724"/>
      <c r="Q17" s="724"/>
      <c r="R17" s="724"/>
      <c r="S17" s="724"/>
      <c r="T17" s="724"/>
      <c r="U17" s="724"/>
      <c r="V17" s="724"/>
      <c r="W17" s="724"/>
      <c r="X17" s="724"/>
      <c r="Y17" s="724"/>
      <c r="Z17" s="724"/>
      <c r="AA17" s="724"/>
      <c r="AB17" s="724"/>
      <c r="AC17" s="724"/>
      <c r="AD17" s="725"/>
    </row>
    <row r="18" spans="2:30" ht="19" x14ac:dyDescent="0.2">
      <c r="B18" s="747" t="s">
        <v>982</v>
      </c>
      <c r="C18" s="748"/>
      <c r="D18" s="748"/>
      <c r="E18" s="748"/>
      <c r="F18" s="748"/>
      <c r="G18" s="748"/>
      <c r="H18" s="748"/>
      <c r="I18" s="748"/>
      <c r="J18" s="748"/>
      <c r="K18" s="748"/>
      <c r="L18" s="748"/>
      <c r="M18" s="749"/>
      <c r="O18" s="723"/>
      <c r="P18" s="724"/>
      <c r="Q18" s="724"/>
      <c r="R18" s="724"/>
      <c r="S18" s="724"/>
      <c r="T18" s="724"/>
      <c r="U18" s="724"/>
      <c r="V18" s="724"/>
      <c r="W18" s="724"/>
      <c r="X18" s="724"/>
      <c r="Y18" s="724"/>
      <c r="Z18" s="724"/>
      <c r="AA18" s="724"/>
      <c r="AB18" s="724"/>
      <c r="AC18" s="724"/>
      <c r="AD18" s="725"/>
    </row>
    <row r="19" spans="2:30" x14ac:dyDescent="0.2">
      <c r="B19" s="750" t="s">
        <v>987</v>
      </c>
      <c r="C19" s="751"/>
      <c r="D19" s="751"/>
      <c r="E19" s="751"/>
      <c r="F19" s="751"/>
      <c r="G19" s="751"/>
      <c r="H19" s="751"/>
      <c r="I19" s="751"/>
      <c r="J19" s="751"/>
      <c r="K19" s="751"/>
      <c r="L19" s="751"/>
      <c r="M19" s="752"/>
      <c r="O19" s="723"/>
      <c r="P19" s="724"/>
      <c r="Q19" s="724"/>
      <c r="R19" s="724"/>
      <c r="S19" s="724"/>
      <c r="T19" s="724"/>
      <c r="U19" s="724"/>
      <c r="V19" s="724"/>
      <c r="W19" s="724"/>
      <c r="X19" s="724"/>
      <c r="Y19" s="724"/>
      <c r="Z19" s="724"/>
      <c r="AA19" s="724"/>
      <c r="AB19" s="724"/>
      <c r="AC19" s="724"/>
      <c r="AD19" s="725"/>
    </row>
    <row r="20" spans="2:30" x14ac:dyDescent="0.2">
      <c r="B20" s="750"/>
      <c r="C20" s="751"/>
      <c r="D20" s="751"/>
      <c r="E20" s="751"/>
      <c r="F20" s="751"/>
      <c r="G20" s="751"/>
      <c r="H20" s="751"/>
      <c r="I20" s="751"/>
      <c r="J20" s="751"/>
      <c r="K20" s="751"/>
      <c r="L20" s="751"/>
      <c r="M20" s="752"/>
      <c r="O20" s="723"/>
      <c r="P20" s="724"/>
      <c r="Q20" s="724"/>
      <c r="R20" s="724"/>
      <c r="S20" s="724"/>
      <c r="T20" s="724"/>
      <c r="U20" s="724"/>
      <c r="V20" s="724"/>
      <c r="W20" s="724"/>
      <c r="X20" s="724"/>
      <c r="Y20" s="724"/>
      <c r="Z20" s="724"/>
      <c r="AA20" s="724"/>
      <c r="AB20" s="724"/>
      <c r="AC20" s="724"/>
      <c r="AD20" s="725"/>
    </row>
    <row r="21" spans="2:30" x14ac:dyDescent="0.2">
      <c r="B21" s="750"/>
      <c r="C21" s="751"/>
      <c r="D21" s="751"/>
      <c r="E21" s="751"/>
      <c r="F21" s="751"/>
      <c r="G21" s="751"/>
      <c r="H21" s="751"/>
      <c r="I21" s="751"/>
      <c r="J21" s="751"/>
      <c r="K21" s="751"/>
      <c r="L21" s="751"/>
      <c r="M21" s="752"/>
      <c r="O21" s="723"/>
      <c r="P21" s="724"/>
      <c r="Q21" s="724"/>
      <c r="R21" s="724"/>
      <c r="S21" s="724"/>
      <c r="T21" s="724"/>
      <c r="U21" s="724"/>
      <c r="V21" s="724"/>
      <c r="W21" s="724"/>
      <c r="X21" s="724"/>
      <c r="Y21" s="724"/>
      <c r="Z21" s="724"/>
      <c r="AA21" s="724"/>
      <c r="AB21" s="724"/>
      <c r="AC21" s="724"/>
      <c r="AD21" s="725"/>
    </row>
    <row r="22" spans="2:30" x14ac:dyDescent="0.2">
      <c r="B22" s="561"/>
      <c r="C22" s="562"/>
      <c r="D22" s="562"/>
      <c r="E22" s="562"/>
      <c r="F22" s="562"/>
      <c r="G22" s="562"/>
      <c r="H22" s="562"/>
      <c r="I22" s="562"/>
      <c r="J22" s="562"/>
      <c r="K22" s="562"/>
      <c r="L22" s="562"/>
      <c r="M22" s="563"/>
      <c r="O22" s="723"/>
      <c r="P22" s="724"/>
      <c r="Q22" s="724"/>
      <c r="R22" s="724"/>
      <c r="S22" s="724"/>
      <c r="T22" s="724"/>
      <c r="U22" s="724"/>
      <c r="V22" s="724"/>
      <c r="W22" s="724"/>
      <c r="X22" s="724"/>
      <c r="Y22" s="724"/>
      <c r="Z22" s="724"/>
      <c r="AA22" s="724"/>
      <c r="AB22" s="724"/>
      <c r="AC22" s="724"/>
      <c r="AD22" s="725"/>
    </row>
    <row r="23" spans="2:30" ht="16" x14ac:dyDescent="0.2">
      <c r="B23" s="753" t="s">
        <v>983</v>
      </c>
      <c r="C23" s="754"/>
      <c r="D23" s="754"/>
      <c r="E23" s="754"/>
      <c r="F23" s="754"/>
      <c r="G23" s="754"/>
      <c r="H23" s="754"/>
      <c r="I23" s="754"/>
      <c r="J23" s="754"/>
      <c r="K23" s="754"/>
      <c r="L23" s="754"/>
      <c r="M23" s="755"/>
      <c r="O23" s="723"/>
      <c r="P23" s="724"/>
      <c r="Q23" s="724"/>
      <c r="R23" s="724"/>
      <c r="S23" s="724"/>
      <c r="T23" s="724"/>
      <c r="U23" s="724"/>
      <c r="V23" s="724"/>
      <c r="W23" s="724"/>
      <c r="X23" s="724"/>
      <c r="Y23" s="724"/>
      <c r="Z23" s="724"/>
      <c r="AA23" s="724"/>
      <c r="AB23" s="724"/>
      <c r="AC23" s="724"/>
      <c r="AD23" s="725"/>
    </row>
    <row r="24" spans="2:30" ht="16" thickBot="1" x14ac:dyDescent="0.25">
      <c r="B24" s="564"/>
      <c r="C24" s="565"/>
      <c r="D24" s="565"/>
      <c r="E24" s="565"/>
      <c r="F24" s="565"/>
      <c r="G24" s="565"/>
      <c r="H24" s="565"/>
      <c r="I24" s="565"/>
      <c r="J24" s="565"/>
      <c r="K24" s="565"/>
      <c r="L24" s="565"/>
      <c r="M24" s="566"/>
      <c r="O24" s="723"/>
      <c r="P24" s="724"/>
      <c r="Q24" s="724"/>
      <c r="R24" s="724"/>
      <c r="S24" s="724"/>
      <c r="T24" s="724"/>
      <c r="U24" s="724"/>
      <c r="V24" s="724"/>
      <c r="W24" s="724"/>
      <c r="X24" s="724"/>
      <c r="Y24" s="724"/>
      <c r="Z24" s="724"/>
      <c r="AA24" s="724"/>
      <c r="AB24" s="724"/>
      <c r="AC24" s="724"/>
      <c r="AD24" s="725"/>
    </row>
    <row r="25" spans="2:30" x14ac:dyDescent="0.2">
      <c r="B25" s="556"/>
      <c r="C25" s="556"/>
      <c r="D25" s="556"/>
      <c r="E25" s="556"/>
      <c r="F25" s="556"/>
      <c r="G25" s="556"/>
      <c r="H25" s="556"/>
      <c r="I25" s="556"/>
      <c r="J25" s="556"/>
      <c r="K25" s="556"/>
      <c r="L25" s="556"/>
      <c r="M25" s="556"/>
      <c r="O25" s="723"/>
      <c r="P25" s="724"/>
      <c r="Q25" s="724"/>
      <c r="R25" s="724"/>
      <c r="S25" s="724"/>
      <c r="T25" s="724"/>
      <c r="U25" s="724"/>
      <c r="V25" s="724"/>
      <c r="W25" s="724"/>
      <c r="X25" s="724"/>
      <c r="Y25" s="724"/>
      <c r="Z25" s="724"/>
      <c r="AA25" s="724"/>
      <c r="AB25" s="724"/>
      <c r="AC25" s="724"/>
      <c r="AD25" s="725"/>
    </row>
    <row r="26" spans="2:30" ht="16" thickBot="1" x14ac:dyDescent="0.25">
      <c r="O26" s="723"/>
      <c r="P26" s="724"/>
      <c r="Q26" s="724"/>
      <c r="R26" s="724"/>
      <c r="S26" s="724"/>
      <c r="T26" s="724"/>
      <c r="U26" s="724"/>
      <c r="V26" s="724"/>
      <c r="W26" s="724"/>
      <c r="X26" s="724"/>
      <c r="Y26" s="724"/>
      <c r="Z26" s="724"/>
      <c r="AA26" s="724"/>
      <c r="AB26" s="724"/>
      <c r="AC26" s="724"/>
      <c r="AD26" s="725"/>
    </row>
    <row r="27" spans="2:30" ht="19" customHeight="1" x14ac:dyDescent="0.2">
      <c r="B27" s="731" t="s">
        <v>572</v>
      </c>
      <c r="C27" s="732"/>
      <c r="D27" s="732"/>
      <c r="E27" s="732"/>
      <c r="F27" s="732"/>
      <c r="G27" s="732"/>
      <c r="H27" s="732"/>
      <c r="I27" s="732"/>
      <c r="J27" s="732"/>
      <c r="K27" s="732"/>
      <c r="L27" s="732"/>
      <c r="M27" s="733"/>
      <c r="O27" s="723"/>
      <c r="P27" s="724"/>
      <c r="Q27" s="724"/>
      <c r="R27" s="724"/>
      <c r="S27" s="724"/>
      <c r="T27" s="724"/>
      <c r="U27" s="724"/>
      <c r="V27" s="724"/>
      <c r="W27" s="724"/>
      <c r="X27" s="724"/>
      <c r="Y27" s="724"/>
      <c r="Z27" s="724"/>
      <c r="AA27" s="724"/>
      <c r="AB27" s="724"/>
      <c r="AC27" s="724"/>
      <c r="AD27" s="725"/>
    </row>
    <row r="28" spans="2:30" x14ac:dyDescent="0.2">
      <c r="B28" s="734"/>
      <c r="C28" s="735"/>
      <c r="D28" s="735"/>
      <c r="E28" s="735"/>
      <c r="F28" s="735"/>
      <c r="G28" s="735"/>
      <c r="H28" s="735"/>
      <c r="I28" s="735"/>
      <c r="J28" s="735"/>
      <c r="K28" s="735"/>
      <c r="L28" s="735"/>
      <c r="M28" s="736"/>
      <c r="O28" s="723"/>
      <c r="P28" s="724"/>
      <c r="Q28" s="724"/>
      <c r="R28" s="724"/>
      <c r="S28" s="724"/>
      <c r="T28" s="724"/>
      <c r="U28" s="724"/>
      <c r="V28" s="724"/>
      <c r="W28" s="724"/>
      <c r="X28" s="724"/>
      <c r="Y28" s="724"/>
      <c r="Z28" s="724"/>
      <c r="AA28" s="724"/>
      <c r="AB28" s="724"/>
      <c r="AC28" s="724"/>
      <c r="AD28" s="725"/>
    </row>
    <row r="29" spans="2:30" x14ac:dyDescent="0.2">
      <c r="B29" s="145"/>
      <c r="C29" s="743" t="s">
        <v>622</v>
      </c>
      <c r="D29" s="743"/>
      <c r="E29" s="743"/>
      <c r="F29" s="743"/>
      <c r="G29" s="743"/>
      <c r="H29" s="743"/>
      <c r="I29" s="743"/>
      <c r="J29" s="743"/>
      <c r="K29" s="743"/>
      <c r="L29" s="743"/>
      <c r="M29" s="146"/>
      <c r="O29" s="723"/>
      <c r="P29" s="724"/>
      <c r="Q29" s="724"/>
      <c r="R29" s="724"/>
      <c r="S29" s="724"/>
      <c r="T29" s="724"/>
      <c r="U29" s="724"/>
      <c r="V29" s="724"/>
      <c r="W29" s="724"/>
      <c r="X29" s="724"/>
      <c r="Y29" s="724"/>
      <c r="Z29" s="724"/>
      <c r="AA29" s="724"/>
      <c r="AB29" s="724"/>
      <c r="AC29" s="724"/>
      <c r="AD29" s="725"/>
    </row>
    <row r="30" spans="2:30" x14ac:dyDescent="0.2">
      <c r="B30" s="145"/>
      <c r="C30" s="743"/>
      <c r="D30" s="743"/>
      <c r="E30" s="743"/>
      <c r="F30" s="743"/>
      <c r="G30" s="743"/>
      <c r="H30" s="743"/>
      <c r="I30" s="743"/>
      <c r="J30" s="743"/>
      <c r="K30" s="743"/>
      <c r="L30" s="743"/>
      <c r="M30" s="146"/>
      <c r="O30" s="723"/>
      <c r="P30" s="724"/>
      <c r="Q30" s="724"/>
      <c r="R30" s="724"/>
      <c r="S30" s="724"/>
      <c r="T30" s="724"/>
      <c r="U30" s="724"/>
      <c r="V30" s="724"/>
      <c r="W30" s="724"/>
      <c r="X30" s="724"/>
      <c r="Y30" s="724"/>
      <c r="Z30" s="724"/>
      <c r="AA30" s="724"/>
      <c r="AB30" s="724"/>
      <c r="AC30" s="724"/>
      <c r="AD30" s="725"/>
    </row>
    <row r="31" spans="2:30" x14ac:dyDescent="0.2">
      <c r="B31" s="145"/>
      <c r="C31" s="743"/>
      <c r="D31" s="743"/>
      <c r="E31" s="743"/>
      <c r="F31" s="743"/>
      <c r="G31" s="743"/>
      <c r="H31" s="743"/>
      <c r="I31" s="743"/>
      <c r="J31" s="743"/>
      <c r="K31" s="743"/>
      <c r="L31" s="743"/>
      <c r="M31" s="146"/>
      <c r="O31" s="723"/>
      <c r="P31" s="724"/>
      <c r="Q31" s="724"/>
      <c r="R31" s="724"/>
      <c r="S31" s="724"/>
      <c r="T31" s="724"/>
      <c r="U31" s="724"/>
      <c r="V31" s="724"/>
      <c r="W31" s="724"/>
      <c r="X31" s="724"/>
      <c r="Y31" s="724"/>
      <c r="Z31" s="724"/>
      <c r="AA31" s="724"/>
      <c r="AB31" s="724"/>
      <c r="AC31" s="724"/>
      <c r="AD31" s="725"/>
    </row>
    <row r="32" spans="2:30" x14ac:dyDescent="0.2">
      <c r="B32" s="139"/>
      <c r="C32" s="743"/>
      <c r="D32" s="743"/>
      <c r="E32" s="743"/>
      <c r="F32" s="743"/>
      <c r="G32" s="743"/>
      <c r="H32" s="743"/>
      <c r="I32" s="743"/>
      <c r="J32" s="743"/>
      <c r="K32" s="743"/>
      <c r="L32" s="743"/>
      <c r="M32" s="140"/>
      <c r="O32" s="723"/>
      <c r="P32" s="724"/>
      <c r="Q32" s="724"/>
      <c r="R32" s="724"/>
      <c r="S32" s="724"/>
      <c r="T32" s="724"/>
      <c r="U32" s="724"/>
      <c r="V32" s="724"/>
      <c r="W32" s="724"/>
      <c r="X32" s="724"/>
      <c r="Y32" s="724"/>
      <c r="Z32" s="724"/>
      <c r="AA32" s="724"/>
      <c r="AB32" s="724"/>
      <c r="AC32" s="724"/>
      <c r="AD32" s="725"/>
    </row>
    <row r="33" spans="2:30" ht="16" thickBot="1" x14ac:dyDescent="0.25">
      <c r="B33" s="139"/>
      <c r="C33" s="143"/>
      <c r="D33" s="143"/>
      <c r="E33" s="143"/>
      <c r="F33" s="143"/>
      <c r="G33" s="143"/>
      <c r="H33" s="143"/>
      <c r="I33" s="143"/>
      <c r="J33" s="143"/>
      <c r="K33" s="143"/>
      <c r="L33" s="143"/>
      <c r="M33" s="140"/>
      <c r="O33" s="723"/>
      <c r="P33" s="724"/>
      <c r="Q33" s="724"/>
      <c r="R33" s="724"/>
      <c r="S33" s="724"/>
      <c r="T33" s="724"/>
      <c r="U33" s="724"/>
      <c r="V33" s="724"/>
      <c r="W33" s="724"/>
      <c r="X33" s="724"/>
      <c r="Y33" s="724"/>
      <c r="Z33" s="724"/>
      <c r="AA33" s="724"/>
      <c r="AB33" s="724"/>
      <c r="AC33" s="724"/>
      <c r="AD33" s="725"/>
    </row>
    <row r="34" spans="2:30" ht="15" customHeight="1" x14ac:dyDescent="0.2">
      <c r="B34" s="139"/>
      <c r="C34" s="744" t="s">
        <v>25</v>
      </c>
      <c r="D34" s="143"/>
      <c r="E34" s="143"/>
      <c r="F34" s="482"/>
      <c r="G34" s="483"/>
      <c r="H34" s="483"/>
      <c r="I34" s="483"/>
      <c r="J34" s="483"/>
      <c r="K34" s="483"/>
      <c r="L34" s="152"/>
      <c r="M34" s="140"/>
      <c r="O34" s="723"/>
      <c r="P34" s="724"/>
      <c r="Q34" s="724"/>
      <c r="R34" s="724"/>
      <c r="S34" s="724"/>
      <c r="T34" s="724"/>
      <c r="U34" s="724"/>
      <c r="V34" s="724"/>
      <c r="W34" s="724"/>
      <c r="X34" s="724"/>
      <c r="Y34" s="724"/>
      <c r="Z34" s="724"/>
      <c r="AA34" s="724"/>
      <c r="AB34" s="724"/>
      <c r="AC34" s="724"/>
      <c r="AD34" s="725"/>
    </row>
    <row r="35" spans="2:30" x14ac:dyDescent="0.2">
      <c r="B35" s="139"/>
      <c r="C35" s="745"/>
      <c r="D35" s="143"/>
      <c r="E35" s="143"/>
      <c r="F35" s="743" t="s">
        <v>988</v>
      </c>
      <c r="G35" s="743"/>
      <c r="H35" s="743"/>
      <c r="I35" s="743"/>
      <c r="J35" s="743"/>
      <c r="K35" s="743"/>
      <c r="L35" s="743"/>
      <c r="M35" s="140"/>
      <c r="O35" s="723"/>
      <c r="P35" s="724"/>
      <c r="Q35" s="724"/>
      <c r="R35" s="724"/>
      <c r="S35" s="724"/>
      <c r="T35" s="724"/>
      <c r="U35" s="724"/>
      <c r="V35" s="724"/>
      <c r="W35" s="724"/>
      <c r="X35" s="724"/>
      <c r="Y35" s="724"/>
      <c r="Z35" s="724"/>
      <c r="AA35" s="724"/>
      <c r="AB35" s="724"/>
      <c r="AC35" s="724"/>
      <c r="AD35" s="725"/>
    </row>
    <row r="36" spans="2:30" x14ac:dyDescent="0.2">
      <c r="B36" s="139"/>
      <c r="C36" s="745"/>
      <c r="D36" s="143"/>
      <c r="E36" s="143"/>
      <c r="F36" s="743"/>
      <c r="G36" s="743"/>
      <c r="H36" s="743"/>
      <c r="I36" s="743"/>
      <c r="J36" s="743"/>
      <c r="K36" s="743"/>
      <c r="L36" s="743"/>
      <c r="M36" s="140"/>
      <c r="O36" s="723"/>
      <c r="P36" s="724"/>
      <c r="Q36" s="724"/>
      <c r="R36" s="724"/>
      <c r="S36" s="724"/>
      <c r="T36" s="724"/>
      <c r="U36" s="724"/>
      <c r="V36" s="724"/>
      <c r="W36" s="724"/>
      <c r="X36" s="724"/>
      <c r="Y36" s="724"/>
      <c r="Z36" s="724"/>
      <c r="AA36" s="724"/>
      <c r="AB36" s="724"/>
      <c r="AC36" s="724"/>
      <c r="AD36" s="725"/>
    </row>
    <row r="37" spans="2:30" x14ac:dyDescent="0.2">
      <c r="B37" s="139"/>
      <c r="C37" s="745"/>
      <c r="D37" s="143"/>
      <c r="E37" s="143"/>
      <c r="F37" s="743"/>
      <c r="G37" s="743"/>
      <c r="H37" s="743"/>
      <c r="I37" s="743"/>
      <c r="J37" s="743"/>
      <c r="K37" s="743"/>
      <c r="L37" s="743"/>
      <c r="M37" s="140"/>
      <c r="O37" s="723"/>
      <c r="P37" s="724"/>
      <c r="Q37" s="724"/>
      <c r="R37" s="724"/>
      <c r="S37" s="724"/>
      <c r="T37" s="724"/>
      <c r="U37" s="724"/>
      <c r="V37" s="724"/>
      <c r="W37" s="724"/>
      <c r="X37" s="724"/>
      <c r="Y37" s="724"/>
      <c r="Z37" s="724"/>
      <c r="AA37" s="724"/>
      <c r="AB37" s="724"/>
      <c r="AC37" s="724"/>
      <c r="AD37" s="725"/>
    </row>
    <row r="38" spans="2:30" x14ac:dyDescent="0.2">
      <c r="B38" s="139"/>
      <c r="C38" s="745"/>
      <c r="D38" s="143"/>
      <c r="E38" s="143"/>
      <c r="F38" s="743"/>
      <c r="G38" s="743"/>
      <c r="H38" s="743"/>
      <c r="I38" s="743"/>
      <c r="J38" s="743"/>
      <c r="K38" s="743"/>
      <c r="L38" s="743"/>
      <c r="M38" s="140"/>
      <c r="O38" s="723"/>
      <c r="P38" s="724"/>
      <c r="Q38" s="724"/>
      <c r="R38" s="724"/>
      <c r="S38" s="724"/>
      <c r="T38" s="724"/>
      <c r="U38" s="724"/>
      <c r="V38" s="724"/>
      <c r="W38" s="724"/>
      <c r="X38" s="724"/>
      <c r="Y38" s="724"/>
      <c r="Z38" s="724"/>
      <c r="AA38" s="724"/>
      <c r="AB38" s="724"/>
      <c r="AC38" s="724"/>
      <c r="AD38" s="725"/>
    </row>
    <row r="39" spans="2:30" ht="16" thickBot="1" x14ac:dyDescent="0.25">
      <c r="B39" s="139"/>
      <c r="C39" s="746"/>
      <c r="D39" s="143"/>
      <c r="E39" s="143"/>
      <c r="F39" s="743"/>
      <c r="G39" s="743"/>
      <c r="H39" s="743"/>
      <c r="I39" s="743"/>
      <c r="J39" s="743"/>
      <c r="K39" s="743"/>
      <c r="L39" s="743"/>
      <c r="M39" s="140"/>
      <c r="O39" s="723"/>
      <c r="P39" s="724"/>
      <c r="Q39" s="724"/>
      <c r="R39" s="724"/>
      <c r="S39" s="724"/>
      <c r="T39" s="724"/>
      <c r="U39" s="724"/>
      <c r="V39" s="724"/>
      <c r="W39" s="724"/>
      <c r="X39" s="724"/>
      <c r="Y39" s="724"/>
      <c r="Z39" s="724"/>
      <c r="AA39" s="724"/>
      <c r="AB39" s="724"/>
      <c r="AC39" s="724"/>
      <c r="AD39" s="725"/>
    </row>
    <row r="40" spans="2:30" ht="16" thickBot="1" x14ac:dyDescent="0.25">
      <c r="B40" s="139"/>
      <c r="C40" s="143"/>
      <c r="D40" s="143"/>
      <c r="E40" s="143"/>
      <c r="F40" s="143"/>
      <c r="G40" s="143"/>
      <c r="H40" s="143"/>
      <c r="I40" s="143"/>
      <c r="J40" s="143"/>
      <c r="K40" s="143"/>
      <c r="L40" s="143"/>
      <c r="M40" s="140"/>
      <c r="O40" s="723"/>
      <c r="P40" s="724"/>
      <c r="Q40" s="724"/>
      <c r="R40" s="724"/>
      <c r="S40" s="724"/>
      <c r="T40" s="724"/>
      <c r="U40" s="724"/>
      <c r="V40" s="724"/>
      <c r="W40" s="724"/>
      <c r="X40" s="724"/>
      <c r="Y40" s="724"/>
      <c r="Z40" s="724"/>
      <c r="AA40" s="724"/>
      <c r="AB40" s="724"/>
      <c r="AC40" s="724"/>
      <c r="AD40" s="725"/>
    </row>
    <row r="41" spans="2:30" ht="15" customHeight="1" x14ac:dyDescent="0.2">
      <c r="B41" s="139"/>
      <c r="C41" s="744" t="s">
        <v>51</v>
      </c>
      <c r="D41" s="143"/>
      <c r="E41" s="143"/>
      <c r="F41" s="153"/>
      <c r="G41" s="154"/>
      <c r="H41" s="154"/>
      <c r="I41" s="154"/>
      <c r="J41" s="154"/>
      <c r="K41" s="154"/>
      <c r="L41" s="152"/>
      <c r="M41" s="140"/>
      <c r="O41" s="723"/>
      <c r="P41" s="724"/>
      <c r="Q41" s="724"/>
      <c r="R41" s="724"/>
      <c r="S41" s="724"/>
      <c r="T41" s="724"/>
      <c r="U41" s="724"/>
      <c r="V41" s="724"/>
      <c r="W41" s="724"/>
      <c r="X41" s="724"/>
      <c r="Y41" s="724"/>
      <c r="Z41" s="724"/>
      <c r="AA41" s="724"/>
      <c r="AB41" s="724"/>
      <c r="AC41" s="724"/>
      <c r="AD41" s="725"/>
    </row>
    <row r="42" spans="2:30" ht="15" customHeight="1" x14ac:dyDescent="0.2">
      <c r="B42" s="139"/>
      <c r="C42" s="745"/>
      <c r="D42" s="143"/>
      <c r="E42" s="143"/>
      <c r="F42" s="743" t="s">
        <v>573</v>
      </c>
      <c r="G42" s="743"/>
      <c r="H42" s="743"/>
      <c r="I42" s="743"/>
      <c r="J42" s="743"/>
      <c r="K42" s="743"/>
      <c r="L42" s="743"/>
      <c r="M42" s="140"/>
      <c r="O42" s="723"/>
      <c r="P42" s="724"/>
      <c r="Q42" s="724"/>
      <c r="R42" s="724"/>
      <c r="S42" s="724"/>
      <c r="T42" s="724"/>
      <c r="U42" s="724"/>
      <c r="V42" s="724"/>
      <c r="W42" s="724"/>
      <c r="X42" s="724"/>
      <c r="Y42" s="724"/>
      <c r="Z42" s="724"/>
      <c r="AA42" s="724"/>
      <c r="AB42" s="724"/>
      <c r="AC42" s="724"/>
      <c r="AD42" s="725"/>
    </row>
    <row r="43" spans="2:30" x14ac:dyDescent="0.2">
      <c r="B43" s="139"/>
      <c r="C43" s="745"/>
      <c r="D43" s="143"/>
      <c r="E43" s="143"/>
      <c r="F43" s="743"/>
      <c r="G43" s="743"/>
      <c r="H43" s="743"/>
      <c r="I43" s="743"/>
      <c r="J43" s="743"/>
      <c r="K43" s="743"/>
      <c r="L43" s="743"/>
      <c r="M43" s="140"/>
      <c r="O43" s="723"/>
      <c r="P43" s="724"/>
      <c r="Q43" s="724"/>
      <c r="R43" s="724"/>
      <c r="S43" s="724"/>
      <c r="T43" s="724"/>
      <c r="U43" s="724"/>
      <c r="V43" s="724"/>
      <c r="W43" s="724"/>
      <c r="X43" s="724"/>
      <c r="Y43" s="724"/>
      <c r="Z43" s="724"/>
      <c r="AA43" s="724"/>
      <c r="AB43" s="724"/>
      <c r="AC43" s="724"/>
      <c r="AD43" s="725"/>
    </row>
    <row r="44" spans="2:30" x14ac:dyDescent="0.2">
      <c r="B44" s="139"/>
      <c r="C44" s="745"/>
      <c r="D44" s="143"/>
      <c r="E44" s="143"/>
      <c r="F44" s="743"/>
      <c r="G44" s="743"/>
      <c r="H44" s="743"/>
      <c r="I44" s="743"/>
      <c r="J44" s="743"/>
      <c r="K44" s="743"/>
      <c r="L44" s="743"/>
      <c r="M44" s="140"/>
      <c r="O44" s="723"/>
      <c r="P44" s="724"/>
      <c r="Q44" s="724"/>
      <c r="R44" s="724"/>
      <c r="S44" s="724"/>
      <c r="T44" s="724"/>
      <c r="U44" s="724"/>
      <c r="V44" s="724"/>
      <c r="W44" s="724"/>
      <c r="X44" s="724"/>
      <c r="Y44" s="724"/>
      <c r="Z44" s="724"/>
      <c r="AA44" s="724"/>
      <c r="AB44" s="724"/>
      <c r="AC44" s="724"/>
      <c r="AD44" s="725"/>
    </row>
    <row r="45" spans="2:30" x14ac:dyDescent="0.2">
      <c r="B45" s="139"/>
      <c r="C45" s="745"/>
      <c r="D45" s="143"/>
      <c r="E45" s="143"/>
      <c r="F45" s="743"/>
      <c r="G45" s="743"/>
      <c r="H45" s="743"/>
      <c r="I45" s="743"/>
      <c r="J45" s="743"/>
      <c r="K45" s="743"/>
      <c r="L45" s="743"/>
      <c r="M45" s="140"/>
      <c r="O45" s="723"/>
      <c r="P45" s="724"/>
      <c r="Q45" s="724"/>
      <c r="R45" s="724"/>
      <c r="S45" s="724"/>
      <c r="T45" s="724"/>
      <c r="U45" s="724"/>
      <c r="V45" s="724"/>
      <c r="W45" s="724"/>
      <c r="X45" s="724"/>
      <c r="Y45" s="724"/>
      <c r="Z45" s="724"/>
      <c r="AA45" s="724"/>
      <c r="AB45" s="724"/>
      <c r="AC45" s="724"/>
      <c r="AD45" s="725"/>
    </row>
    <row r="46" spans="2:30" ht="16" thickBot="1" x14ac:dyDescent="0.25">
      <c r="B46" s="139"/>
      <c r="C46" s="746"/>
      <c r="D46" s="143"/>
      <c r="E46" s="143"/>
      <c r="F46" s="743"/>
      <c r="G46" s="743"/>
      <c r="H46" s="743"/>
      <c r="I46" s="743"/>
      <c r="J46" s="743"/>
      <c r="K46" s="743"/>
      <c r="L46" s="743"/>
      <c r="M46" s="140"/>
      <c r="O46" s="723"/>
      <c r="P46" s="724"/>
      <c r="Q46" s="724"/>
      <c r="R46" s="724"/>
      <c r="S46" s="724"/>
      <c r="T46" s="724"/>
      <c r="U46" s="724"/>
      <c r="V46" s="724"/>
      <c r="W46" s="724"/>
      <c r="X46" s="724"/>
      <c r="Y46" s="724"/>
      <c r="Z46" s="724"/>
      <c r="AA46" s="724"/>
      <c r="AB46" s="724"/>
      <c r="AC46" s="724"/>
      <c r="AD46" s="725"/>
    </row>
    <row r="47" spans="2:30" ht="16" thickBot="1" x14ac:dyDescent="0.25">
      <c r="B47" s="139"/>
      <c r="C47" s="143"/>
      <c r="D47" s="143"/>
      <c r="E47" s="143"/>
      <c r="F47" s="143"/>
      <c r="G47" s="143"/>
      <c r="H47" s="143"/>
      <c r="I47" s="143"/>
      <c r="J47" s="143"/>
      <c r="K47" s="143"/>
      <c r="L47" s="143"/>
      <c r="M47" s="140"/>
      <c r="O47" s="723"/>
      <c r="P47" s="724"/>
      <c r="Q47" s="724"/>
      <c r="R47" s="724"/>
      <c r="S47" s="724"/>
      <c r="T47" s="724"/>
      <c r="U47" s="724"/>
      <c r="V47" s="724"/>
      <c r="W47" s="724"/>
      <c r="X47" s="724"/>
      <c r="Y47" s="724"/>
      <c r="Z47" s="724"/>
      <c r="AA47" s="724"/>
      <c r="AB47" s="724"/>
      <c r="AC47" s="724"/>
      <c r="AD47" s="725"/>
    </row>
    <row r="48" spans="2:30" x14ac:dyDescent="0.2">
      <c r="B48" s="139"/>
      <c r="C48" s="744" t="s">
        <v>26</v>
      </c>
      <c r="D48" s="143"/>
      <c r="E48" s="143"/>
      <c r="F48" s="155"/>
      <c r="G48" s="155"/>
      <c r="H48" s="155"/>
      <c r="I48" s="155"/>
      <c r="J48" s="155"/>
      <c r="K48" s="155"/>
      <c r="L48" s="143"/>
      <c r="M48" s="140"/>
      <c r="O48" s="726"/>
      <c r="P48" s="727"/>
      <c r="Q48" s="727"/>
      <c r="R48" s="727"/>
      <c r="S48" s="727"/>
      <c r="T48" s="727"/>
      <c r="U48" s="727"/>
      <c r="V48" s="727"/>
      <c r="W48" s="727"/>
      <c r="X48" s="727"/>
      <c r="Y48" s="727"/>
      <c r="Z48" s="727"/>
      <c r="AA48" s="727"/>
      <c r="AB48" s="727"/>
      <c r="AC48" s="727"/>
      <c r="AD48" s="728"/>
    </row>
    <row r="49" spans="2:13" x14ac:dyDescent="0.2">
      <c r="B49" s="139"/>
      <c r="C49" s="745"/>
      <c r="D49" s="143"/>
      <c r="E49" s="143"/>
      <c r="F49" s="743" t="s">
        <v>623</v>
      </c>
      <c r="G49" s="743"/>
      <c r="H49" s="743"/>
      <c r="I49" s="743"/>
      <c r="J49" s="743"/>
      <c r="K49" s="743"/>
      <c r="L49" s="743"/>
      <c r="M49" s="140"/>
    </row>
    <row r="50" spans="2:13" x14ac:dyDescent="0.2">
      <c r="B50" s="139"/>
      <c r="C50" s="745"/>
      <c r="D50" s="143"/>
      <c r="E50" s="143"/>
      <c r="F50" s="743"/>
      <c r="G50" s="743"/>
      <c r="H50" s="743"/>
      <c r="I50" s="743"/>
      <c r="J50" s="743"/>
      <c r="K50" s="743"/>
      <c r="L50" s="743"/>
      <c r="M50" s="140"/>
    </row>
    <row r="51" spans="2:13" x14ac:dyDescent="0.2">
      <c r="B51" s="139"/>
      <c r="C51" s="745"/>
      <c r="D51" s="143"/>
      <c r="E51" s="143"/>
      <c r="F51" s="743"/>
      <c r="G51" s="743"/>
      <c r="H51" s="743"/>
      <c r="I51" s="743"/>
      <c r="J51" s="743"/>
      <c r="K51" s="743"/>
      <c r="L51" s="743"/>
      <c r="M51" s="140"/>
    </row>
    <row r="52" spans="2:13" x14ac:dyDescent="0.2">
      <c r="B52" s="139"/>
      <c r="C52" s="745"/>
      <c r="D52" s="143"/>
      <c r="E52" s="143"/>
      <c r="F52" s="743"/>
      <c r="G52" s="743"/>
      <c r="H52" s="743"/>
      <c r="I52" s="743"/>
      <c r="J52" s="743"/>
      <c r="K52" s="743"/>
      <c r="L52" s="743"/>
      <c r="M52" s="140"/>
    </row>
    <row r="53" spans="2:13" ht="16" thickBot="1" x14ac:dyDescent="0.25">
      <c r="B53" s="139"/>
      <c r="C53" s="746"/>
      <c r="D53" s="143"/>
      <c r="E53" s="143"/>
      <c r="F53" s="743"/>
      <c r="G53" s="743"/>
      <c r="H53" s="743"/>
      <c r="I53" s="743"/>
      <c r="J53" s="743"/>
      <c r="K53" s="743"/>
      <c r="L53" s="743"/>
      <c r="M53" s="140"/>
    </row>
    <row r="54" spans="2:13" x14ac:dyDescent="0.2">
      <c r="B54" s="139"/>
      <c r="C54" s="143"/>
      <c r="D54" s="143"/>
      <c r="E54" s="143"/>
      <c r="F54" s="143"/>
      <c r="G54" s="143"/>
      <c r="H54" s="143"/>
      <c r="I54" s="143"/>
      <c r="J54" s="143"/>
      <c r="K54" s="143"/>
      <c r="L54" s="143"/>
      <c r="M54" s="140"/>
    </row>
    <row r="55" spans="2:13" x14ac:dyDescent="0.2">
      <c r="B55" s="139"/>
      <c r="C55" s="729" t="s">
        <v>624</v>
      </c>
      <c r="D55" s="730"/>
      <c r="E55" s="730"/>
      <c r="F55" s="730"/>
      <c r="G55" s="730"/>
      <c r="H55" s="730"/>
      <c r="I55" s="730"/>
      <c r="J55" s="730"/>
      <c r="K55" s="730"/>
      <c r="L55" s="730"/>
      <c r="M55" s="140"/>
    </row>
    <row r="56" spans="2:13" x14ac:dyDescent="0.2">
      <c r="B56" s="139"/>
      <c r="C56" s="730"/>
      <c r="D56" s="730"/>
      <c r="E56" s="730"/>
      <c r="F56" s="730"/>
      <c r="G56" s="730"/>
      <c r="H56" s="730"/>
      <c r="I56" s="730"/>
      <c r="J56" s="730"/>
      <c r="K56" s="730"/>
      <c r="L56" s="730"/>
      <c r="M56" s="140"/>
    </row>
    <row r="57" spans="2:13" x14ac:dyDescent="0.2">
      <c r="B57" s="139"/>
      <c r="C57" s="730"/>
      <c r="D57" s="730"/>
      <c r="E57" s="730"/>
      <c r="F57" s="730"/>
      <c r="G57" s="730"/>
      <c r="H57" s="730"/>
      <c r="I57" s="730"/>
      <c r="J57" s="730"/>
      <c r="K57" s="730"/>
      <c r="L57" s="730"/>
      <c r="M57" s="140"/>
    </row>
    <row r="58" spans="2:13" ht="16" thickBot="1" x14ac:dyDescent="0.25">
      <c r="B58" s="139"/>
      <c r="C58" s="143"/>
      <c r="D58" s="143"/>
      <c r="E58" s="143"/>
      <c r="F58" s="143"/>
      <c r="G58" s="143"/>
      <c r="H58" s="143"/>
      <c r="I58" s="143"/>
      <c r="J58" s="143"/>
      <c r="K58" s="143"/>
      <c r="L58" s="143"/>
      <c r="M58" s="140"/>
    </row>
    <row r="59" spans="2:13" ht="16" customHeight="1" x14ac:dyDescent="0.2">
      <c r="B59" s="139"/>
      <c r="C59" s="739" t="s">
        <v>574</v>
      </c>
      <c r="D59" s="740"/>
      <c r="E59" s="156"/>
      <c r="F59" s="743" t="s">
        <v>625</v>
      </c>
      <c r="G59" s="743"/>
      <c r="H59" s="743"/>
      <c r="I59" s="743"/>
      <c r="J59" s="743"/>
      <c r="K59" s="743"/>
      <c r="L59" s="743"/>
      <c r="M59" s="140"/>
    </row>
    <row r="60" spans="2:13" ht="17" thickBot="1" x14ac:dyDescent="0.25">
      <c r="B60" s="139"/>
      <c r="C60" s="741"/>
      <c r="D60" s="742"/>
      <c r="E60" s="156"/>
      <c r="F60" s="743"/>
      <c r="G60" s="743"/>
      <c r="H60" s="743"/>
      <c r="I60" s="743"/>
      <c r="J60" s="743"/>
      <c r="K60" s="743"/>
      <c r="L60" s="743"/>
      <c r="M60" s="140"/>
    </row>
    <row r="61" spans="2:13" x14ac:dyDescent="0.2">
      <c r="B61" s="139"/>
      <c r="C61" s="143"/>
      <c r="D61" s="143"/>
      <c r="E61" s="143"/>
      <c r="F61" s="743"/>
      <c r="G61" s="743"/>
      <c r="H61" s="743"/>
      <c r="I61" s="743"/>
      <c r="J61" s="743"/>
      <c r="K61" s="743"/>
      <c r="L61" s="743"/>
      <c r="M61" s="140"/>
    </row>
    <row r="62" spans="2:13" x14ac:dyDescent="0.2">
      <c r="B62" s="139"/>
      <c r="C62" s="143"/>
      <c r="D62" s="143"/>
      <c r="E62" s="143"/>
      <c r="F62" s="743"/>
      <c r="G62" s="743"/>
      <c r="H62" s="743"/>
      <c r="I62" s="743"/>
      <c r="J62" s="743"/>
      <c r="K62" s="743"/>
      <c r="L62" s="743"/>
      <c r="M62" s="140"/>
    </row>
    <row r="63" spans="2:13" x14ac:dyDescent="0.2">
      <c r="B63" s="139"/>
      <c r="C63" s="143"/>
      <c r="D63" s="143"/>
      <c r="E63" s="143"/>
      <c r="F63" s="743"/>
      <c r="G63" s="743"/>
      <c r="H63" s="743"/>
      <c r="I63" s="743"/>
      <c r="J63" s="743"/>
      <c r="K63" s="743"/>
      <c r="L63" s="743"/>
      <c r="M63" s="140"/>
    </row>
    <row r="64" spans="2:13" x14ac:dyDescent="0.2">
      <c r="B64" s="139"/>
      <c r="C64" s="143"/>
      <c r="D64" s="143"/>
      <c r="E64" s="143"/>
      <c r="F64" s="143"/>
      <c r="G64" s="143"/>
      <c r="H64" s="143"/>
      <c r="I64" s="143"/>
      <c r="J64" s="143"/>
      <c r="K64" s="143"/>
      <c r="L64" s="143"/>
      <c r="M64" s="140"/>
    </row>
    <row r="65" spans="2:13" ht="16" thickBot="1" x14ac:dyDescent="0.25">
      <c r="B65" s="141"/>
      <c r="C65" s="144"/>
      <c r="D65" s="144"/>
      <c r="E65" s="144"/>
      <c r="F65" s="144"/>
      <c r="G65" s="144"/>
      <c r="H65" s="144"/>
      <c r="I65" s="144"/>
      <c r="J65" s="144"/>
      <c r="K65" s="144"/>
      <c r="L65" s="144"/>
      <c r="M65" s="142"/>
    </row>
    <row r="67" spans="2:13" ht="16" thickBot="1" x14ac:dyDescent="0.25"/>
    <row r="68" spans="2:13" x14ac:dyDescent="0.2">
      <c r="B68" s="731" t="s">
        <v>575</v>
      </c>
      <c r="C68" s="732"/>
      <c r="D68" s="732"/>
      <c r="E68" s="732"/>
      <c r="F68" s="732"/>
      <c r="G68" s="732"/>
      <c r="H68" s="732"/>
      <c r="I68" s="732"/>
      <c r="J68" s="732"/>
      <c r="K68" s="732"/>
      <c r="L68" s="732"/>
      <c r="M68" s="733"/>
    </row>
    <row r="69" spans="2:13" x14ac:dyDescent="0.2">
      <c r="B69" s="734"/>
      <c r="C69" s="735"/>
      <c r="D69" s="735"/>
      <c r="E69" s="735"/>
      <c r="F69" s="735"/>
      <c r="G69" s="735"/>
      <c r="H69" s="735"/>
      <c r="I69" s="735"/>
      <c r="J69" s="735"/>
      <c r="K69" s="735"/>
      <c r="L69" s="735"/>
      <c r="M69" s="736"/>
    </row>
    <row r="70" spans="2:13" x14ac:dyDescent="0.2">
      <c r="B70" s="139"/>
      <c r="C70" s="737" t="s">
        <v>972</v>
      </c>
      <c r="D70" s="737"/>
      <c r="E70" s="737"/>
      <c r="F70" s="737"/>
      <c r="G70" s="737"/>
      <c r="H70" s="737"/>
      <c r="I70" s="737"/>
      <c r="J70" s="737"/>
      <c r="K70" s="737"/>
      <c r="L70" s="737"/>
      <c r="M70" s="140"/>
    </row>
    <row r="71" spans="2:13" x14ac:dyDescent="0.2">
      <c r="B71" s="139"/>
      <c r="C71" s="737"/>
      <c r="D71" s="737"/>
      <c r="E71" s="737"/>
      <c r="F71" s="737"/>
      <c r="G71" s="737"/>
      <c r="H71" s="737"/>
      <c r="I71" s="737"/>
      <c r="J71" s="737"/>
      <c r="K71" s="737"/>
      <c r="L71" s="737"/>
      <c r="M71" s="140"/>
    </row>
    <row r="72" spans="2:13" ht="16" thickBot="1" x14ac:dyDescent="0.25">
      <c r="B72" s="141"/>
      <c r="C72" s="738"/>
      <c r="D72" s="738"/>
      <c r="E72" s="738"/>
      <c r="F72" s="738"/>
      <c r="G72" s="738"/>
      <c r="H72" s="738"/>
      <c r="I72" s="738"/>
      <c r="J72" s="738"/>
      <c r="K72" s="738"/>
      <c r="L72" s="738"/>
      <c r="M72" s="142"/>
    </row>
  </sheetData>
  <mergeCells count="19">
    <mergeCell ref="B2:M3"/>
    <mergeCell ref="F35:L39"/>
    <mergeCell ref="F49:L53"/>
    <mergeCell ref="F42:L46"/>
    <mergeCell ref="C34:C39"/>
    <mergeCell ref="C41:C46"/>
    <mergeCell ref="C48:C53"/>
    <mergeCell ref="C29:L32"/>
    <mergeCell ref="B18:M18"/>
    <mergeCell ref="B19:M21"/>
    <mergeCell ref="B23:M23"/>
    <mergeCell ref="C4:L14"/>
    <mergeCell ref="O7:AD48"/>
    <mergeCell ref="C55:L57"/>
    <mergeCell ref="B68:M69"/>
    <mergeCell ref="C70:L72"/>
    <mergeCell ref="B27:M28"/>
    <mergeCell ref="C59:D60"/>
    <mergeCell ref="F59:L6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6DC2-148F-9141-A370-3BEDBE90F927}">
  <sheetPr>
    <outlinePr summaryBelow="0"/>
  </sheetPr>
  <dimension ref="B1:Z409"/>
  <sheetViews>
    <sheetView topLeftCell="A343" zoomScaleNormal="100" workbookViewId="0">
      <selection activeCell="H22" sqref="H22:J22"/>
    </sheetView>
  </sheetViews>
  <sheetFormatPr baseColWidth="10" defaultRowHeight="15" outlineLevelRow="5" x14ac:dyDescent="0.2"/>
  <cols>
    <col min="1" max="1" width="8.5" style="1" customWidth="1"/>
    <col min="2" max="2" width="10.83203125" style="1"/>
    <col min="3" max="3" width="6.33203125" style="1" customWidth="1"/>
    <col min="4" max="4" width="9" style="69" customWidth="1"/>
    <col min="5" max="5" width="7.83203125" style="69" customWidth="1"/>
    <col min="6" max="6" width="8.1640625" style="69" customWidth="1"/>
    <col min="7" max="7" width="12.83203125" style="69" customWidth="1"/>
    <col min="8" max="8" width="11.83203125" style="92" bestFit="1" customWidth="1"/>
    <col min="9" max="9" width="19.83203125" style="92" customWidth="1"/>
    <col min="10" max="10" width="25.83203125" style="92" bestFit="1" customWidth="1"/>
    <col min="11" max="11" width="24" style="91" customWidth="1"/>
    <col min="12" max="12" width="43.83203125" style="91" bestFit="1" customWidth="1"/>
    <col min="13" max="13" width="76.6640625" style="91" customWidth="1"/>
    <col min="14" max="14" width="32.33203125" style="69" customWidth="1"/>
    <col min="15" max="15" width="11.83203125" style="88" customWidth="1"/>
    <col min="16" max="16" width="10.83203125" style="1"/>
    <col min="17" max="17" width="12" style="1" customWidth="1"/>
    <col min="18" max="16384" width="10.83203125" style="1"/>
  </cols>
  <sheetData>
    <row r="1" spans="2:25" ht="32" customHeight="1" thickBot="1" x14ac:dyDescent="0.25"/>
    <row r="2" spans="2:25" ht="20" thickBot="1" x14ac:dyDescent="0.3">
      <c r="B2" s="757" t="s">
        <v>25</v>
      </c>
      <c r="J2" s="848" t="s">
        <v>920</v>
      </c>
      <c r="K2" s="849"/>
      <c r="L2" s="449"/>
      <c r="M2" s="449"/>
      <c r="N2" s="449"/>
    </row>
    <row r="3" spans="2:25" ht="16" customHeight="1" thickBot="1" x14ac:dyDescent="0.25">
      <c r="B3" s="758"/>
      <c r="D3" s="760" t="s">
        <v>528</v>
      </c>
      <c r="E3" s="761"/>
      <c r="F3" s="761"/>
      <c r="G3" s="761"/>
      <c r="H3" s="762"/>
      <c r="I3" s="4"/>
      <c r="J3" s="299" t="s">
        <v>62</v>
      </c>
      <c r="K3" s="346" t="s">
        <v>900</v>
      </c>
      <c r="L3" s="94"/>
      <c r="M3" s="94"/>
      <c r="O3" s="4"/>
      <c r="P3" s="4"/>
      <c r="Q3" s="4"/>
    </row>
    <row r="4" spans="2:25" ht="15" customHeight="1" thickBot="1" x14ac:dyDescent="0.25">
      <c r="B4" s="758"/>
      <c r="D4" s="810" t="s">
        <v>19</v>
      </c>
      <c r="E4" s="811"/>
      <c r="F4" s="811"/>
      <c r="G4" s="811"/>
      <c r="H4" s="534" t="s">
        <v>17</v>
      </c>
      <c r="I4" s="68"/>
      <c r="J4" s="554" t="s">
        <v>923</v>
      </c>
      <c r="K4" s="569">
        <v>777</v>
      </c>
      <c r="L4" s="38"/>
      <c r="O4" s="5"/>
      <c r="P4" s="5"/>
      <c r="Q4" s="5"/>
    </row>
    <row r="5" spans="2:25" ht="15" customHeight="1" x14ac:dyDescent="0.25">
      <c r="B5" s="758"/>
      <c r="D5" s="801" t="s">
        <v>569</v>
      </c>
      <c r="E5" s="802"/>
      <c r="F5" s="802"/>
      <c r="G5" s="803"/>
      <c r="H5" s="699">
        <v>2962</v>
      </c>
      <c r="I5" s="60"/>
      <c r="J5" s="553" t="s">
        <v>924</v>
      </c>
      <c r="K5" s="570">
        <v>329</v>
      </c>
      <c r="L5" s="38"/>
      <c r="P5" s="60" t="s">
        <v>183</v>
      </c>
      <c r="V5" s="449"/>
      <c r="W5" s="449"/>
      <c r="X5" s="449"/>
      <c r="Y5" s="449"/>
    </row>
    <row r="6" spans="2:25" ht="15" customHeight="1" x14ac:dyDescent="0.2">
      <c r="B6" s="758"/>
      <c r="D6" s="804" t="s">
        <v>570</v>
      </c>
      <c r="E6" s="805"/>
      <c r="F6" s="805"/>
      <c r="G6" s="806"/>
      <c r="H6" s="567">
        <v>601</v>
      </c>
      <c r="I6" s="60"/>
      <c r="J6" s="553" t="s">
        <v>926</v>
      </c>
      <c r="K6" s="570">
        <v>534</v>
      </c>
      <c r="L6" s="38"/>
      <c r="O6" s="60"/>
      <c r="P6" s="60"/>
      <c r="V6" s="484"/>
      <c r="W6" s="797"/>
      <c r="X6" s="797"/>
      <c r="Y6" s="797"/>
    </row>
    <row r="7" spans="2:25" ht="15" customHeight="1" x14ac:dyDescent="0.2">
      <c r="B7" s="758"/>
      <c r="D7" s="807" t="s">
        <v>630</v>
      </c>
      <c r="E7" s="808"/>
      <c r="F7" s="808"/>
      <c r="G7" s="809"/>
      <c r="H7" s="568">
        <v>2252</v>
      </c>
      <c r="I7" s="60"/>
      <c r="J7" s="553" t="s">
        <v>927</v>
      </c>
      <c r="K7" s="570">
        <v>415</v>
      </c>
      <c r="L7" s="38"/>
      <c r="M7" s="38"/>
      <c r="O7" s="60"/>
      <c r="P7" s="60"/>
      <c r="V7" s="60"/>
      <c r="W7" s="52"/>
      <c r="X7" s="52"/>
      <c r="Y7" s="52"/>
    </row>
    <row r="8" spans="2:25" ht="18" customHeight="1" x14ac:dyDescent="0.2">
      <c r="B8" s="758"/>
      <c r="D8" s="798" t="s">
        <v>997</v>
      </c>
      <c r="E8" s="799"/>
      <c r="F8" s="799"/>
      <c r="G8" s="800"/>
      <c r="H8" s="698">
        <v>0.08</v>
      </c>
      <c r="I8" s="60"/>
      <c r="J8" s="553" t="s">
        <v>929</v>
      </c>
      <c r="K8" s="570">
        <v>176</v>
      </c>
      <c r="M8" s="38"/>
      <c r="O8" s="60"/>
      <c r="P8" s="60"/>
      <c r="V8" s="60"/>
      <c r="W8" s="52"/>
      <c r="X8" s="52"/>
      <c r="Y8" s="52"/>
    </row>
    <row r="9" spans="2:25" ht="15" customHeight="1" thickBot="1" x14ac:dyDescent="0.25">
      <c r="B9" s="758"/>
      <c r="D9" s="850" t="s">
        <v>998</v>
      </c>
      <c r="E9" s="851"/>
      <c r="F9" s="851"/>
      <c r="G9" s="851"/>
      <c r="H9" s="700">
        <v>0.06</v>
      </c>
      <c r="I9" s="60"/>
      <c r="J9" s="555" t="s">
        <v>930</v>
      </c>
      <c r="K9" s="571">
        <v>285</v>
      </c>
      <c r="L9" s="38"/>
      <c r="M9" s="38"/>
      <c r="O9" s="60"/>
      <c r="P9" s="60"/>
      <c r="V9" s="60"/>
      <c r="W9" s="52"/>
      <c r="X9" s="52"/>
      <c r="Y9" s="52"/>
    </row>
    <row r="10" spans="2:25" ht="16" thickBot="1" x14ac:dyDescent="0.25">
      <c r="B10" s="758"/>
      <c r="O10" s="60"/>
      <c r="P10" s="60"/>
      <c r="V10" s="60"/>
      <c r="W10" s="52"/>
      <c r="X10" s="52"/>
      <c r="Y10" s="52"/>
    </row>
    <row r="11" spans="2:25" ht="19" x14ac:dyDescent="0.2">
      <c r="B11" s="758"/>
      <c r="D11" s="747" t="s">
        <v>626</v>
      </c>
      <c r="E11" s="748"/>
      <c r="F11" s="748"/>
      <c r="G11" s="748"/>
      <c r="H11" s="748"/>
      <c r="I11" s="748"/>
      <c r="J11" s="748"/>
      <c r="K11" s="748"/>
      <c r="L11" s="748"/>
      <c r="M11" s="749"/>
      <c r="N11" s="485"/>
      <c r="O11" s="60"/>
      <c r="P11" s="60"/>
      <c r="V11" s="60"/>
      <c r="W11" s="52"/>
      <c r="X11" s="52"/>
      <c r="Y11" s="52"/>
    </row>
    <row r="12" spans="2:25" ht="148" customHeight="1" thickBot="1" x14ac:dyDescent="0.25">
      <c r="B12" s="758"/>
      <c r="D12" s="845" t="s">
        <v>973</v>
      </c>
      <c r="E12" s="846"/>
      <c r="F12" s="846"/>
      <c r="G12" s="846"/>
      <c r="H12" s="846"/>
      <c r="I12" s="846"/>
      <c r="J12" s="846"/>
      <c r="K12" s="846"/>
      <c r="L12" s="846"/>
      <c r="M12" s="847"/>
      <c r="V12" s="60"/>
      <c r="W12" s="789"/>
      <c r="X12" s="789"/>
      <c r="Y12" s="789"/>
    </row>
    <row r="13" spans="2:25" ht="16" thickBot="1" x14ac:dyDescent="0.25">
      <c r="B13" s="758"/>
    </row>
    <row r="14" spans="2:25" x14ac:dyDescent="0.2">
      <c r="B14" s="758"/>
      <c r="D14" s="760" t="s">
        <v>525</v>
      </c>
      <c r="E14" s="761"/>
      <c r="F14" s="761"/>
      <c r="G14" s="761"/>
      <c r="H14" s="761"/>
      <c r="I14" s="761"/>
      <c r="J14" s="761"/>
      <c r="K14" s="761"/>
      <c r="L14" s="761"/>
      <c r="M14" s="761"/>
      <c r="N14" s="762"/>
      <c r="O14" s="1"/>
    </row>
    <row r="15" spans="2:25" x14ac:dyDescent="0.2">
      <c r="B15" s="758"/>
      <c r="D15" s="812"/>
      <c r="E15" s="813"/>
      <c r="F15" s="813"/>
      <c r="G15" s="813"/>
      <c r="H15" s="813"/>
      <c r="I15" s="813"/>
      <c r="J15" s="813"/>
      <c r="K15" s="813"/>
      <c r="L15" s="813"/>
      <c r="M15" s="813"/>
      <c r="N15" s="814"/>
      <c r="O15" s="1"/>
    </row>
    <row r="16" spans="2:25" s="90" customFormat="1" ht="20" thickBot="1" x14ac:dyDescent="0.3">
      <c r="B16" s="758"/>
      <c r="D16" s="763" t="s">
        <v>213</v>
      </c>
      <c r="E16" s="764"/>
      <c r="F16" s="764"/>
      <c r="G16" s="764"/>
      <c r="H16" s="764"/>
      <c r="I16" s="764"/>
      <c r="J16" s="764"/>
      <c r="K16" s="297" t="s">
        <v>212</v>
      </c>
      <c r="L16" s="297" t="s">
        <v>632</v>
      </c>
      <c r="M16" s="297" t="s">
        <v>28</v>
      </c>
      <c r="N16" s="298" t="s">
        <v>83</v>
      </c>
    </row>
    <row r="17" spans="2:15" s="89" customFormat="1" ht="16" x14ac:dyDescent="0.2">
      <c r="B17" s="758"/>
      <c r="D17" s="815" t="s">
        <v>214</v>
      </c>
      <c r="E17" s="816"/>
      <c r="F17" s="816"/>
      <c r="G17" s="816"/>
      <c r="H17" s="816"/>
      <c r="I17" s="816"/>
      <c r="J17" s="817"/>
      <c r="K17" s="293">
        <f>SUM(K18,K114,K311)</f>
        <v>2920054.61</v>
      </c>
      <c r="L17" s="294" t="s">
        <v>681</v>
      </c>
      <c r="M17" s="295"/>
      <c r="N17" s="296"/>
    </row>
    <row r="18" spans="2:15" s="89" customFormat="1" outlineLevel="1" x14ac:dyDescent="0.2">
      <c r="B18" s="758"/>
      <c r="D18" s="259"/>
      <c r="E18" s="818" t="s">
        <v>216</v>
      </c>
      <c r="F18" s="818"/>
      <c r="G18" s="818"/>
      <c r="H18" s="818"/>
      <c r="I18" s="818"/>
      <c r="J18" s="819"/>
      <c r="K18" s="260">
        <f>SUM(K19,K34,K94)</f>
        <v>37946.61</v>
      </c>
      <c r="L18" s="261" t="s">
        <v>682</v>
      </c>
      <c r="M18" s="262"/>
      <c r="N18" s="263"/>
    </row>
    <row r="19" spans="2:15" s="89" customFormat="1" outlineLevel="2" x14ac:dyDescent="0.2">
      <c r="B19" s="758"/>
      <c r="D19" s="259"/>
      <c r="E19" s="28"/>
      <c r="F19" s="790" t="s">
        <v>230</v>
      </c>
      <c r="G19" s="790"/>
      <c r="H19" s="790"/>
      <c r="I19" s="790"/>
      <c r="J19" s="791"/>
      <c r="K19" s="260">
        <f>SUM(K20,K27,K28,K32,K33)</f>
        <v>28530</v>
      </c>
      <c r="L19" s="261" t="s">
        <v>683</v>
      </c>
      <c r="M19" s="264"/>
      <c r="N19" s="265"/>
    </row>
    <row r="20" spans="2:15" outlineLevel="3" x14ac:dyDescent="0.2">
      <c r="B20" s="758"/>
      <c r="D20" s="259"/>
      <c r="E20" s="28"/>
      <c r="F20" s="28"/>
      <c r="G20" s="790" t="s">
        <v>217</v>
      </c>
      <c r="H20" s="790"/>
      <c r="I20" s="790"/>
      <c r="J20" s="791"/>
      <c r="K20" s="260">
        <f>SUM(K21:K24)</f>
        <v>28530</v>
      </c>
      <c r="L20" s="261" t="s">
        <v>684</v>
      </c>
      <c r="M20" s="262"/>
      <c r="N20" s="263"/>
      <c r="O20" s="1"/>
    </row>
    <row r="21" spans="2:15" outlineLevel="4" x14ac:dyDescent="0.2">
      <c r="B21" s="758"/>
      <c r="D21" s="259"/>
      <c r="E21" s="28"/>
      <c r="F21" s="28"/>
      <c r="G21" s="28"/>
      <c r="H21" s="792" t="s">
        <v>219</v>
      </c>
      <c r="I21" s="792"/>
      <c r="J21" s="793"/>
      <c r="K21" s="572">
        <v>0</v>
      </c>
      <c r="L21" s="272"/>
      <c r="M21" s="262"/>
      <c r="N21" s="263"/>
      <c r="O21" s="1"/>
    </row>
    <row r="22" spans="2:15" ht="32" outlineLevel="4" x14ac:dyDescent="0.2">
      <c r="B22" s="758"/>
      <c r="D22" s="259"/>
      <c r="E22" s="28"/>
      <c r="F22" s="28"/>
      <c r="G22" s="28"/>
      <c r="H22" s="792" t="s">
        <v>220</v>
      </c>
      <c r="I22" s="792"/>
      <c r="J22" s="793"/>
      <c r="K22" s="573">
        <f>10*H6</f>
        <v>6010</v>
      </c>
      <c r="L22" s="267" t="s">
        <v>628</v>
      </c>
      <c r="M22" s="268" t="s">
        <v>627</v>
      </c>
      <c r="N22" s="271"/>
      <c r="O22" s="1"/>
    </row>
    <row r="23" spans="2:15" ht="32" outlineLevel="4" x14ac:dyDescent="0.2">
      <c r="B23" s="758"/>
      <c r="D23" s="259"/>
      <c r="E23" s="28"/>
      <c r="F23" s="28"/>
      <c r="G23" s="28"/>
      <c r="H23" s="794" t="s">
        <v>221</v>
      </c>
      <c r="I23" s="794"/>
      <c r="J23" s="795"/>
      <c r="K23" s="572">
        <f>10*H7</f>
        <v>22520</v>
      </c>
      <c r="L23" s="261" t="s">
        <v>629</v>
      </c>
      <c r="M23" s="262" t="s">
        <v>627</v>
      </c>
      <c r="N23" s="263"/>
      <c r="O23" s="1"/>
    </row>
    <row r="24" spans="2:15" outlineLevel="4" x14ac:dyDescent="0.2">
      <c r="B24" s="758"/>
      <c r="D24" s="259"/>
      <c r="E24" s="28"/>
      <c r="F24" s="28"/>
      <c r="G24" s="28"/>
      <c r="H24" s="796" t="s">
        <v>222</v>
      </c>
      <c r="I24" s="792"/>
      <c r="J24" s="793"/>
      <c r="K24" s="266">
        <f>SUM(K25:K26)</f>
        <v>0</v>
      </c>
      <c r="L24" s="267" t="s">
        <v>685</v>
      </c>
      <c r="M24" s="268"/>
      <c r="N24" s="268"/>
      <c r="O24" s="1"/>
    </row>
    <row r="25" spans="2:15" ht="15" customHeight="1" outlineLevel="5" x14ac:dyDescent="0.2">
      <c r="B25" s="758"/>
      <c r="D25" s="259"/>
      <c r="E25" s="152"/>
      <c r="F25" s="152"/>
      <c r="G25" s="152"/>
      <c r="H25" s="152"/>
      <c r="I25" s="765" t="s">
        <v>223</v>
      </c>
      <c r="J25" s="766"/>
      <c r="K25" s="572">
        <v>0</v>
      </c>
      <c r="L25" s="272"/>
      <c r="M25" s="262"/>
      <c r="N25" s="263"/>
      <c r="O25" s="1"/>
    </row>
    <row r="26" spans="2:15" ht="17" customHeight="1" outlineLevel="5" x14ac:dyDescent="0.2">
      <c r="B26" s="758"/>
      <c r="D26" s="259"/>
      <c r="E26" s="152"/>
      <c r="F26" s="152"/>
      <c r="G26" s="152"/>
      <c r="H26" s="152"/>
      <c r="I26" s="768" t="s">
        <v>224</v>
      </c>
      <c r="J26" s="769"/>
      <c r="K26" s="573">
        <v>0</v>
      </c>
      <c r="L26" s="270"/>
      <c r="M26" s="268"/>
      <c r="N26" s="271"/>
      <c r="O26" s="1"/>
    </row>
    <row r="27" spans="2:15" outlineLevel="3" x14ac:dyDescent="0.2">
      <c r="B27" s="758"/>
      <c r="D27" s="259"/>
      <c r="E27" s="152"/>
      <c r="F27" s="152"/>
      <c r="G27" s="768" t="s">
        <v>215</v>
      </c>
      <c r="H27" s="768"/>
      <c r="I27" s="765"/>
      <c r="J27" s="766"/>
      <c r="K27" s="572">
        <v>0</v>
      </c>
      <c r="L27" s="272"/>
      <c r="M27" s="264"/>
      <c r="N27" s="263"/>
      <c r="O27" s="1"/>
    </row>
    <row r="28" spans="2:15" outlineLevel="3" x14ac:dyDescent="0.2">
      <c r="B28" s="758"/>
      <c r="D28" s="259"/>
      <c r="E28" s="152"/>
      <c r="F28" s="152"/>
      <c r="G28" s="768" t="s">
        <v>218</v>
      </c>
      <c r="H28" s="768"/>
      <c r="I28" s="768"/>
      <c r="J28" s="769"/>
      <c r="K28" s="266">
        <f>SUM(K29:K31)</f>
        <v>0</v>
      </c>
      <c r="L28" s="267" t="s">
        <v>686</v>
      </c>
      <c r="M28" s="268"/>
      <c r="N28" s="271"/>
      <c r="O28" s="1"/>
    </row>
    <row r="29" spans="2:15" ht="15" customHeight="1" outlineLevel="4" x14ac:dyDescent="0.2">
      <c r="B29" s="758"/>
      <c r="D29" s="259"/>
      <c r="E29" s="152"/>
      <c r="F29" s="152"/>
      <c r="G29" s="152"/>
      <c r="H29" s="765" t="s">
        <v>225</v>
      </c>
      <c r="I29" s="765"/>
      <c r="J29" s="766"/>
      <c r="K29" s="572">
        <v>0</v>
      </c>
      <c r="L29" s="272"/>
      <c r="M29" s="262"/>
      <c r="N29" s="263"/>
      <c r="O29" s="1"/>
    </row>
    <row r="30" spans="2:15" ht="15" customHeight="1" outlineLevel="4" x14ac:dyDescent="0.2">
      <c r="B30" s="758"/>
      <c r="D30" s="259"/>
      <c r="E30" s="152"/>
      <c r="F30" s="152"/>
      <c r="G30" s="152"/>
      <c r="H30" s="765" t="s">
        <v>226</v>
      </c>
      <c r="I30" s="765"/>
      <c r="J30" s="766"/>
      <c r="K30" s="572">
        <v>0</v>
      </c>
      <c r="L30" s="272"/>
      <c r="M30" s="262"/>
      <c r="N30" s="263"/>
      <c r="O30" s="1"/>
    </row>
    <row r="31" spans="2:15" ht="15" customHeight="1" outlineLevel="4" x14ac:dyDescent="0.2">
      <c r="B31" s="758"/>
      <c r="D31" s="259"/>
      <c r="E31" s="152"/>
      <c r="F31" s="152"/>
      <c r="G31" s="269"/>
      <c r="H31" s="768" t="s">
        <v>227</v>
      </c>
      <c r="I31" s="768"/>
      <c r="J31" s="769"/>
      <c r="K31" s="573">
        <v>0</v>
      </c>
      <c r="L31" s="270"/>
      <c r="M31" s="268"/>
      <c r="N31" s="271"/>
      <c r="O31" s="1"/>
    </row>
    <row r="32" spans="2:15" outlineLevel="3" x14ac:dyDescent="0.2">
      <c r="B32" s="758"/>
      <c r="D32" s="259"/>
      <c r="E32" s="152"/>
      <c r="F32" s="152"/>
      <c r="G32" s="765" t="s">
        <v>228</v>
      </c>
      <c r="H32" s="765"/>
      <c r="I32" s="765"/>
      <c r="J32" s="766"/>
      <c r="K32" s="572">
        <v>0</v>
      </c>
      <c r="L32" s="272"/>
      <c r="M32" s="262"/>
      <c r="N32" s="263"/>
      <c r="O32" s="1"/>
    </row>
    <row r="33" spans="2:19" ht="48" outlineLevel="3" x14ac:dyDescent="0.2">
      <c r="B33" s="758"/>
      <c r="D33" s="259"/>
      <c r="E33" s="152"/>
      <c r="F33" s="152"/>
      <c r="G33" s="768" t="s">
        <v>229</v>
      </c>
      <c r="H33" s="768"/>
      <c r="I33" s="768"/>
      <c r="J33" s="769"/>
      <c r="K33" s="573">
        <v>0</v>
      </c>
      <c r="L33" s="270"/>
      <c r="M33" s="268" t="s">
        <v>638</v>
      </c>
      <c r="N33" s="268"/>
      <c r="O33" s="1"/>
      <c r="R33" s="1" t="s">
        <v>183</v>
      </c>
      <c r="S33" s="1" t="s">
        <v>183</v>
      </c>
    </row>
    <row r="34" spans="2:19" s="89" customFormat="1" outlineLevel="2" x14ac:dyDescent="0.2">
      <c r="B34" s="758"/>
      <c r="D34" s="259"/>
      <c r="E34" s="152"/>
      <c r="F34" s="768" t="s">
        <v>232</v>
      </c>
      <c r="G34" s="768"/>
      <c r="H34" s="768"/>
      <c r="I34" s="768"/>
      <c r="J34" s="769"/>
      <c r="K34" s="266">
        <f>SUM(K35,K49,K56,K61,K68:K69,K85:K88)</f>
        <v>3140.61</v>
      </c>
      <c r="L34" s="275" t="s">
        <v>687</v>
      </c>
      <c r="M34" s="276"/>
      <c r="N34" s="277"/>
    </row>
    <row r="35" spans="2:19" outlineLevel="3" x14ac:dyDescent="0.2">
      <c r="B35" s="758"/>
      <c r="D35" s="259"/>
      <c r="E35" s="152"/>
      <c r="F35" s="152"/>
      <c r="G35" s="765" t="s">
        <v>231</v>
      </c>
      <c r="H35" s="765"/>
      <c r="I35" s="765"/>
      <c r="J35" s="766"/>
      <c r="K35" s="260">
        <f>SUM(K36,K37,K41,K44:K48)</f>
        <v>0</v>
      </c>
      <c r="L35" s="278" t="s">
        <v>688</v>
      </c>
      <c r="M35" s="279"/>
      <c r="N35" s="280"/>
      <c r="O35" s="1"/>
    </row>
    <row r="36" spans="2:19" ht="15" customHeight="1" outlineLevel="4" x14ac:dyDescent="0.2">
      <c r="B36" s="758"/>
      <c r="D36" s="259"/>
      <c r="E36" s="152"/>
      <c r="F36" s="152"/>
      <c r="G36" s="152"/>
      <c r="H36" s="765" t="s">
        <v>233</v>
      </c>
      <c r="I36" s="765"/>
      <c r="J36" s="766"/>
      <c r="K36" s="572">
        <v>0</v>
      </c>
      <c r="L36" s="260"/>
      <c r="M36" s="279"/>
      <c r="N36" s="280"/>
      <c r="O36" s="1"/>
    </row>
    <row r="37" spans="2:19" ht="15" customHeight="1" outlineLevel="4" x14ac:dyDescent="0.2">
      <c r="B37" s="758"/>
      <c r="D37" s="259"/>
      <c r="E37" s="152"/>
      <c r="F37" s="152"/>
      <c r="G37" s="152"/>
      <c r="H37" s="765" t="s">
        <v>234</v>
      </c>
      <c r="I37" s="765"/>
      <c r="J37" s="766"/>
      <c r="K37" s="260">
        <f>SUM(K38:K40)</f>
        <v>0</v>
      </c>
      <c r="L37" s="278" t="s">
        <v>689</v>
      </c>
      <c r="M37" s="279"/>
      <c r="N37" s="280"/>
      <c r="O37" s="1"/>
    </row>
    <row r="38" spans="2:19" ht="15" customHeight="1" outlineLevel="5" x14ac:dyDescent="0.2">
      <c r="B38" s="758"/>
      <c r="D38" s="259"/>
      <c r="E38" s="152"/>
      <c r="F38" s="152"/>
      <c r="G38" s="152"/>
      <c r="H38" s="152"/>
      <c r="I38" s="765" t="s">
        <v>235</v>
      </c>
      <c r="J38" s="766"/>
      <c r="K38" s="572">
        <v>0</v>
      </c>
      <c r="L38" s="260"/>
      <c r="M38" s="279"/>
      <c r="N38" s="280"/>
      <c r="O38" s="1"/>
    </row>
    <row r="39" spans="2:19" ht="15" customHeight="1" outlineLevel="5" x14ac:dyDescent="0.2">
      <c r="B39" s="758"/>
      <c r="D39" s="259"/>
      <c r="E39" s="152"/>
      <c r="F39" s="152"/>
      <c r="G39" s="152"/>
      <c r="H39" s="152"/>
      <c r="I39" s="765" t="s">
        <v>236</v>
      </c>
      <c r="J39" s="766"/>
      <c r="K39" s="572">
        <v>0</v>
      </c>
      <c r="L39" s="260"/>
      <c r="M39" s="279"/>
      <c r="N39" s="280"/>
      <c r="O39" s="1"/>
    </row>
    <row r="40" spans="2:19" ht="15" customHeight="1" outlineLevel="5" x14ac:dyDescent="0.2">
      <c r="B40" s="758"/>
      <c r="D40" s="259"/>
      <c r="E40" s="152"/>
      <c r="F40" s="152"/>
      <c r="G40" s="152"/>
      <c r="H40" s="152"/>
      <c r="I40" s="765" t="s">
        <v>237</v>
      </c>
      <c r="J40" s="766"/>
      <c r="K40" s="572">
        <v>0</v>
      </c>
      <c r="L40" s="260"/>
      <c r="M40" s="279"/>
      <c r="N40" s="280"/>
      <c r="O40" s="1"/>
    </row>
    <row r="41" spans="2:19" ht="15" customHeight="1" outlineLevel="4" x14ac:dyDescent="0.2">
      <c r="B41" s="758"/>
      <c r="D41" s="259"/>
      <c r="E41" s="152"/>
      <c r="F41" s="152"/>
      <c r="G41" s="152"/>
      <c r="H41" s="768" t="s">
        <v>238</v>
      </c>
      <c r="I41" s="768"/>
      <c r="J41" s="769"/>
      <c r="K41" s="266">
        <f>SUM(K42:K43)</f>
        <v>0</v>
      </c>
      <c r="L41" s="275" t="s">
        <v>690</v>
      </c>
      <c r="M41" s="276"/>
      <c r="N41" s="277"/>
      <c r="O41" s="1"/>
    </row>
    <row r="42" spans="2:19" ht="15" customHeight="1" outlineLevel="5" x14ac:dyDescent="0.2">
      <c r="B42" s="758"/>
      <c r="D42" s="259"/>
      <c r="E42" s="152"/>
      <c r="F42" s="152"/>
      <c r="G42" s="152"/>
      <c r="H42" s="152"/>
      <c r="I42" s="765" t="s">
        <v>239</v>
      </c>
      <c r="J42" s="766"/>
      <c r="K42" s="572">
        <v>0</v>
      </c>
      <c r="L42" s="260"/>
      <c r="M42" s="279"/>
      <c r="N42" s="280"/>
      <c r="O42" s="1"/>
    </row>
    <row r="43" spans="2:19" ht="15" customHeight="1" outlineLevel="5" x14ac:dyDescent="0.2">
      <c r="B43" s="758"/>
      <c r="D43" s="259"/>
      <c r="E43" s="152"/>
      <c r="F43" s="152"/>
      <c r="G43" s="152"/>
      <c r="H43" s="152"/>
      <c r="I43" s="765" t="s">
        <v>240</v>
      </c>
      <c r="J43" s="766"/>
      <c r="K43" s="572">
        <v>0</v>
      </c>
      <c r="L43" s="260"/>
      <c r="M43" s="279"/>
      <c r="N43" s="280"/>
      <c r="O43" s="1"/>
    </row>
    <row r="44" spans="2:19" ht="15" customHeight="1" outlineLevel="4" x14ac:dyDescent="0.2">
      <c r="B44" s="758"/>
      <c r="D44" s="259"/>
      <c r="E44" s="152"/>
      <c r="F44" s="152"/>
      <c r="G44" s="152"/>
      <c r="H44" s="768" t="s">
        <v>241</v>
      </c>
      <c r="I44" s="768"/>
      <c r="J44" s="769"/>
      <c r="K44" s="573">
        <v>0</v>
      </c>
      <c r="L44" s="266"/>
      <c r="M44" s="276"/>
      <c r="N44" s="277"/>
      <c r="O44" s="1"/>
    </row>
    <row r="45" spans="2:19" ht="15" customHeight="1" outlineLevel="4" x14ac:dyDescent="0.2">
      <c r="B45" s="758"/>
      <c r="D45" s="259"/>
      <c r="E45" s="152"/>
      <c r="F45" s="152"/>
      <c r="G45" s="152"/>
      <c r="H45" s="765" t="s">
        <v>242</v>
      </c>
      <c r="I45" s="765"/>
      <c r="J45" s="766"/>
      <c r="K45" s="572">
        <v>0</v>
      </c>
      <c r="L45" s="260"/>
      <c r="M45" s="279"/>
      <c r="N45" s="280"/>
      <c r="O45" s="1"/>
    </row>
    <row r="46" spans="2:19" ht="15" customHeight="1" outlineLevel="4" x14ac:dyDescent="0.2">
      <c r="B46" s="758"/>
      <c r="D46" s="259"/>
      <c r="E46" s="152"/>
      <c r="F46" s="152"/>
      <c r="G46" s="152"/>
      <c r="H46" s="765" t="s">
        <v>243</v>
      </c>
      <c r="I46" s="765"/>
      <c r="J46" s="766"/>
      <c r="K46" s="572">
        <v>0</v>
      </c>
      <c r="L46" s="260"/>
      <c r="M46" s="279"/>
      <c r="N46" s="280"/>
      <c r="O46" s="1"/>
    </row>
    <row r="47" spans="2:19" ht="15" customHeight="1" outlineLevel="4" x14ac:dyDescent="0.2">
      <c r="B47" s="758"/>
      <c r="D47" s="259"/>
      <c r="E47" s="152"/>
      <c r="F47" s="152"/>
      <c r="G47" s="152"/>
      <c r="H47" s="765" t="s">
        <v>244</v>
      </c>
      <c r="I47" s="765"/>
      <c r="J47" s="766"/>
      <c r="K47" s="572">
        <v>0</v>
      </c>
      <c r="L47" s="260"/>
      <c r="M47" s="279"/>
      <c r="N47" s="280"/>
      <c r="O47" s="1"/>
    </row>
    <row r="48" spans="2:19" ht="15" customHeight="1" outlineLevel="4" x14ac:dyDescent="0.2">
      <c r="B48" s="758"/>
      <c r="D48" s="259"/>
      <c r="E48" s="152"/>
      <c r="F48" s="152"/>
      <c r="G48" s="152"/>
      <c r="H48" s="765" t="s">
        <v>245</v>
      </c>
      <c r="I48" s="765"/>
      <c r="J48" s="766"/>
      <c r="K48" s="572">
        <v>0</v>
      </c>
      <c r="L48" s="260"/>
      <c r="M48" s="279"/>
      <c r="N48" s="280"/>
      <c r="O48" s="1"/>
    </row>
    <row r="49" spans="2:15" outlineLevel="3" x14ac:dyDescent="0.2">
      <c r="B49" s="758"/>
      <c r="D49" s="259"/>
      <c r="E49" s="152"/>
      <c r="F49" s="152"/>
      <c r="G49" s="768" t="s">
        <v>246</v>
      </c>
      <c r="H49" s="768"/>
      <c r="I49" s="768"/>
      <c r="J49" s="769"/>
      <c r="K49" s="260">
        <v>947</v>
      </c>
      <c r="L49" s="278" t="s">
        <v>691</v>
      </c>
      <c r="M49" s="282" t="s">
        <v>637</v>
      </c>
      <c r="N49" s="286" t="s">
        <v>512</v>
      </c>
      <c r="O49" s="1"/>
    </row>
    <row r="50" spans="2:15" ht="15" customHeight="1" outlineLevel="4" x14ac:dyDescent="0.2">
      <c r="B50" s="758"/>
      <c r="D50" s="259"/>
      <c r="E50" s="152"/>
      <c r="F50" s="152"/>
      <c r="G50" s="152"/>
      <c r="H50" s="765" t="s">
        <v>247</v>
      </c>
      <c r="I50" s="765"/>
      <c r="J50" s="766"/>
      <c r="K50" s="572">
        <v>0</v>
      </c>
      <c r="L50" s="260"/>
      <c r="M50" s="279"/>
      <c r="N50" s="282"/>
      <c r="O50" s="1"/>
    </row>
    <row r="51" spans="2:15" ht="15" customHeight="1" outlineLevel="4" x14ac:dyDescent="0.2">
      <c r="B51" s="758"/>
      <c r="D51" s="259"/>
      <c r="E51" s="152"/>
      <c r="F51" s="152"/>
      <c r="G51" s="152"/>
      <c r="H51" s="765" t="s">
        <v>248</v>
      </c>
      <c r="I51" s="765"/>
      <c r="J51" s="766"/>
      <c r="K51" s="572">
        <v>0</v>
      </c>
      <c r="L51" s="260"/>
      <c r="M51" s="279"/>
      <c r="N51" s="286"/>
      <c r="O51" s="1"/>
    </row>
    <row r="52" spans="2:15" ht="15" customHeight="1" outlineLevel="4" x14ac:dyDescent="0.2">
      <c r="B52" s="758"/>
      <c r="D52" s="259"/>
      <c r="E52" s="152"/>
      <c r="F52" s="152"/>
      <c r="G52" s="152"/>
      <c r="H52" s="765" t="s">
        <v>249</v>
      </c>
      <c r="I52" s="765"/>
      <c r="J52" s="766"/>
      <c r="K52" s="572">
        <v>0</v>
      </c>
      <c r="L52" s="260"/>
      <c r="M52" s="279"/>
      <c r="N52" s="280"/>
      <c r="O52" s="1"/>
    </row>
    <row r="53" spans="2:15" ht="15" customHeight="1" outlineLevel="4" x14ac:dyDescent="0.2">
      <c r="B53" s="758"/>
      <c r="D53" s="259"/>
      <c r="E53" s="152"/>
      <c r="F53" s="152"/>
      <c r="G53" s="152"/>
      <c r="H53" s="765" t="s">
        <v>250</v>
      </c>
      <c r="I53" s="765"/>
      <c r="J53" s="766"/>
      <c r="K53" s="572">
        <v>0</v>
      </c>
      <c r="L53" s="260"/>
      <c r="M53" s="279"/>
      <c r="N53" s="280"/>
      <c r="O53" s="1"/>
    </row>
    <row r="54" spans="2:15" ht="15" customHeight="1" outlineLevel="4" x14ac:dyDescent="0.2">
      <c r="B54" s="758"/>
      <c r="D54" s="259"/>
      <c r="E54" s="152"/>
      <c r="F54" s="152"/>
      <c r="G54" s="152"/>
      <c r="H54" s="765" t="s">
        <v>251</v>
      </c>
      <c r="I54" s="765"/>
      <c r="J54" s="766"/>
      <c r="K54" s="572">
        <v>0</v>
      </c>
      <c r="L54" s="260"/>
      <c r="M54" s="279"/>
      <c r="N54" s="280"/>
      <c r="O54" s="1"/>
    </row>
    <row r="55" spans="2:15" ht="15" customHeight="1" outlineLevel="4" x14ac:dyDescent="0.2">
      <c r="B55" s="758"/>
      <c r="D55" s="259"/>
      <c r="E55" s="152"/>
      <c r="F55" s="152"/>
      <c r="G55" s="152"/>
      <c r="H55" s="765" t="s">
        <v>252</v>
      </c>
      <c r="I55" s="765"/>
      <c r="J55" s="766"/>
      <c r="K55" s="572">
        <v>0</v>
      </c>
      <c r="L55" s="260"/>
      <c r="M55" s="279"/>
      <c r="N55" s="280"/>
      <c r="O55" s="1"/>
    </row>
    <row r="56" spans="2:15" outlineLevel="3" x14ac:dyDescent="0.2">
      <c r="B56" s="758"/>
      <c r="D56" s="259"/>
      <c r="E56" s="152"/>
      <c r="F56" s="152"/>
      <c r="G56" s="768" t="s">
        <v>253</v>
      </c>
      <c r="H56" s="768"/>
      <c r="I56" s="768"/>
      <c r="J56" s="769"/>
      <c r="K56" s="260">
        <f>SUM(K57:K60)</f>
        <v>0</v>
      </c>
      <c r="L56" s="278" t="s">
        <v>692</v>
      </c>
      <c r="M56" s="279"/>
      <c r="N56" s="280"/>
      <c r="O56" s="1"/>
    </row>
    <row r="57" spans="2:15" ht="15" customHeight="1" outlineLevel="4" x14ac:dyDescent="0.2">
      <c r="B57" s="758"/>
      <c r="D57" s="259"/>
      <c r="E57" s="152"/>
      <c r="F57" s="152"/>
      <c r="G57" s="152"/>
      <c r="H57" s="765" t="s">
        <v>254</v>
      </c>
      <c r="I57" s="765"/>
      <c r="J57" s="766"/>
      <c r="K57" s="572">
        <v>0</v>
      </c>
      <c r="L57" s="260"/>
      <c r="M57" s="279"/>
      <c r="N57" s="280"/>
      <c r="O57" s="1"/>
    </row>
    <row r="58" spans="2:15" ht="15" customHeight="1" outlineLevel="4" x14ac:dyDescent="0.2">
      <c r="B58" s="758"/>
      <c r="D58" s="259"/>
      <c r="E58" s="152"/>
      <c r="F58" s="152"/>
      <c r="G58" s="152"/>
      <c r="H58" s="765" t="s">
        <v>255</v>
      </c>
      <c r="I58" s="765"/>
      <c r="J58" s="766"/>
      <c r="K58" s="572">
        <v>0</v>
      </c>
      <c r="L58" s="260"/>
      <c r="M58" s="279"/>
      <c r="N58" s="280"/>
      <c r="O58" s="1"/>
    </row>
    <row r="59" spans="2:15" ht="15" customHeight="1" outlineLevel="4" x14ac:dyDescent="0.2">
      <c r="B59" s="758"/>
      <c r="D59" s="259"/>
      <c r="E59" s="152"/>
      <c r="F59" s="152"/>
      <c r="G59" s="152"/>
      <c r="H59" s="765" t="s">
        <v>256</v>
      </c>
      <c r="I59" s="765"/>
      <c r="J59" s="766"/>
      <c r="K59" s="572">
        <v>0</v>
      </c>
      <c r="L59" s="260"/>
      <c r="M59" s="279"/>
      <c r="N59" s="280"/>
      <c r="O59" s="1"/>
    </row>
    <row r="60" spans="2:15" ht="15" customHeight="1" outlineLevel="4" x14ac:dyDescent="0.2">
      <c r="B60" s="758"/>
      <c r="D60" s="259"/>
      <c r="E60" s="152"/>
      <c r="F60" s="152"/>
      <c r="G60" s="152"/>
      <c r="H60" s="765" t="s">
        <v>257</v>
      </c>
      <c r="I60" s="765"/>
      <c r="J60" s="766"/>
      <c r="K60" s="572">
        <v>0</v>
      </c>
      <c r="L60" s="260"/>
      <c r="M60" s="279"/>
      <c r="N60" s="280"/>
      <c r="O60" s="1"/>
    </row>
    <row r="61" spans="2:15" ht="16" outlineLevel="3" x14ac:dyDescent="0.2">
      <c r="B61" s="758"/>
      <c r="D61" s="259"/>
      <c r="E61" s="152"/>
      <c r="F61" s="152"/>
      <c r="G61" s="768" t="s">
        <v>258</v>
      </c>
      <c r="H61" s="768"/>
      <c r="I61" s="768"/>
      <c r="J61" s="769"/>
      <c r="K61" s="260">
        <v>505.88</v>
      </c>
      <c r="L61" s="278" t="s">
        <v>693</v>
      </c>
      <c r="M61" s="282" t="s">
        <v>637</v>
      </c>
      <c r="N61" s="287" t="s">
        <v>515</v>
      </c>
      <c r="O61" s="1"/>
    </row>
    <row r="62" spans="2:15" ht="15" customHeight="1" outlineLevel="4" x14ac:dyDescent="0.2">
      <c r="B62" s="758"/>
      <c r="D62" s="259"/>
      <c r="E62" s="152"/>
      <c r="F62" s="152"/>
      <c r="G62" s="152"/>
      <c r="H62" s="765" t="s">
        <v>259</v>
      </c>
      <c r="I62" s="765"/>
      <c r="J62" s="766"/>
      <c r="K62" s="572">
        <v>0</v>
      </c>
      <c r="L62" s="260"/>
      <c r="M62" s="279"/>
      <c r="N62" s="280"/>
      <c r="O62" s="1"/>
    </row>
    <row r="63" spans="2:15" ht="15" customHeight="1" outlineLevel="4" x14ac:dyDescent="0.2">
      <c r="B63" s="758"/>
      <c r="D63" s="259"/>
      <c r="E63" s="152"/>
      <c r="F63" s="152"/>
      <c r="G63" s="152"/>
      <c r="H63" s="765" t="s">
        <v>260</v>
      </c>
      <c r="I63" s="765"/>
      <c r="J63" s="766"/>
      <c r="K63" s="572">
        <v>0</v>
      </c>
      <c r="L63" s="260"/>
      <c r="M63" s="279"/>
      <c r="N63" s="280"/>
      <c r="O63" s="1"/>
    </row>
    <row r="64" spans="2:15" ht="15" customHeight="1" outlineLevel="4" x14ac:dyDescent="0.2">
      <c r="B64" s="758"/>
      <c r="D64" s="259"/>
      <c r="E64" s="152"/>
      <c r="F64" s="152"/>
      <c r="G64" s="152"/>
      <c r="H64" s="765" t="s">
        <v>261</v>
      </c>
      <c r="I64" s="765"/>
      <c r="J64" s="766"/>
      <c r="K64" s="572">
        <v>0</v>
      </c>
      <c r="L64" s="260"/>
      <c r="M64" s="279"/>
      <c r="N64" s="280"/>
      <c r="O64" s="1"/>
    </row>
    <row r="65" spans="2:15" ht="15" customHeight="1" outlineLevel="4" x14ac:dyDescent="0.2">
      <c r="B65" s="758"/>
      <c r="D65" s="259"/>
      <c r="E65" s="152"/>
      <c r="F65" s="152"/>
      <c r="G65" s="152"/>
      <c r="H65" s="765" t="s">
        <v>262</v>
      </c>
      <c r="I65" s="765"/>
      <c r="J65" s="766"/>
      <c r="K65" s="572">
        <v>0</v>
      </c>
      <c r="L65" s="260"/>
      <c r="M65" s="279"/>
      <c r="N65" s="280"/>
      <c r="O65" s="1"/>
    </row>
    <row r="66" spans="2:15" ht="15" customHeight="1" outlineLevel="4" x14ac:dyDescent="0.2">
      <c r="B66" s="758"/>
      <c r="D66" s="259"/>
      <c r="E66" s="152"/>
      <c r="F66" s="152"/>
      <c r="G66" s="152"/>
      <c r="H66" s="765" t="s">
        <v>263</v>
      </c>
      <c r="I66" s="765"/>
      <c r="J66" s="766"/>
      <c r="K66" s="572">
        <v>0</v>
      </c>
      <c r="L66" s="260"/>
      <c r="M66" s="279"/>
      <c r="N66" s="280"/>
      <c r="O66" s="1"/>
    </row>
    <row r="67" spans="2:15" ht="15" customHeight="1" outlineLevel="4" x14ac:dyDescent="0.2">
      <c r="B67" s="758"/>
      <c r="D67" s="259"/>
      <c r="E67" s="152"/>
      <c r="F67" s="152"/>
      <c r="G67" s="152"/>
      <c r="H67" s="765" t="s">
        <v>264</v>
      </c>
      <c r="I67" s="765"/>
      <c r="J67" s="766"/>
      <c r="K67" s="572">
        <v>0</v>
      </c>
      <c r="L67" s="260"/>
      <c r="M67" s="279"/>
      <c r="N67" s="280"/>
      <c r="O67" s="1"/>
    </row>
    <row r="68" spans="2:15" ht="16" outlineLevel="3" x14ac:dyDescent="0.2">
      <c r="B68" s="758"/>
      <c r="D68" s="259"/>
      <c r="E68" s="152"/>
      <c r="F68" s="152"/>
      <c r="G68" s="768" t="s">
        <v>265</v>
      </c>
      <c r="H68" s="768"/>
      <c r="I68" s="768"/>
      <c r="J68" s="769"/>
      <c r="K68" s="572">
        <v>0</v>
      </c>
      <c r="L68" s="260"/>
      <c r="M68" s="279" t="s">
        <v>645</v>
      </c>
      <c r="N68" s="288"/>
      <c r="O68" s="1"/>
    </row>
    <row r="69" spans="2:15" outlineLevel="3" x14ac:dyDescent="0.2">
      <c r="B69" s="758"/>
      <c r="D69" s="259"/>
      <c r="E69" s="152"/>
      <c r="F69" s="152"/>
      <c r="G69" s="765" t="s">
        <v>266</v>
      </c>
      <c r="H69" s="765"/>
      <c r="I69" s="765"/>
      <c r="J69" s="766"/>
      <c r="K69" s="260">
        <f>SUM(K70,K74,K79)</f>
        <v>50</v>
      </c>
      <c r="L69" s="278" t="s">
        <v>694</v>
      </c>
      <c r="M69" s="279"/>
      <c r="N69" s="288"/>
      <c r="O69" s="1"/>
    </row>
    <row r="70" spans="2:15" ht="32" outlineLevel="4" x14ac:dyDescent="0.2">
      <c r="B70" s="758"/>
      <c r="D70" s="259"/>
      <c r="E70" s="152"/>
      <c r="F70" s="152"/>
      <c r="G70" s="152"/>
      <c r="H70" s="765" t="s">
        <v>267</v>
      </c>
      <c r="I70" s="765"/>
      <c r="J70" s="766"/>
      <c r="K70" s="260">
        <v>50</v>
      </c>
      <c r="L70" s="278" t="s">
        <v>695</v>
      </c>
      <c r="M70" s="279" t="s">
        <v>750</v>
      </c>
      <c r="N70" s="280"/>
      <c r="O70" s="1"/>
    </row>
    <row r="71" spans="2:15" ht="15" customHeight="1" outlineLevel="5" x14ac:dyDescent="0.2">
      <c r="B71" s="758"/>
      <c r="D71" s="259"/>
      <c r="E71" s="152"/>
      <c r="F71" s="152"/>
      <c r="G71" s="152"/>
      <c r="H71" s="152"/>
      <c r="I71" s="765" t="s">
        <v>268</v>
      </c>
      <c r="J71" s="766"/>
      <c r="K71" s="572">
        <v>0</v>
      </c>
      <c r="L71" s="260"/>
      <c r="M71" s="279"/>
      <c r="N71" s="280"/>
      <c r="O71" s="1"/>
    </row>
    <row r="72" spans="2:15" ht="15" customHeight="1" outlineLevel="5" x14ac:dyDescent="0.2">
      <c r="B72" s="758"/>
      <c r="D72" s="259"/>
      <c r="E72" s="152"/>
      <c r="F72" s="152"/>
      <c r="G72" s="152"/>
      <c r="H72" s="152"/>
      <c r="I72" s="768" t="s">
        <v>269</v>
      </c>
      <c r="J72" s="769"/>
      <c r="K72" s="572">
        <v>0</v>
      </c>
      <c r="L72" s="260"/>
      <c r="M72" s="279"/>
      <c r="N72" s="280"/>
      <c r="O72" s="1"/>
    </row>
    <row r="73" spans="2:15" ht="15" customHeight="1" outlineLevel="5" x14ac:dyDescent="0.2">
      <c r="B73" s="758"/>
      <c r="D73" s="259"/>
      <c r="E73" s="152"/>
      <c r="F73" s="152"/>
      <c r="G73" s="152"/>
      <c r="H73" s="152"/>
      <c r="I73" s="765" t="s">
        <v>270</v>
      </c>
      <c r="J73" s="766"/>
      <c r="K73" s="572">
        <v>0</v>
      </c>
      <c r="L73" s="260"/>
      <c r="M73" s="279"/>
      <c r="N73" s="280"/>
      <c r="O73" s="1"/>
    </row>
    <row r="74" spans="2:15" outlineLevel="4" x14ac:dyDescent="0.2">
      <c r="B74" s="758"/>
      <c r="D74" s="259"/>
      <c r="E74" s="152"/>
      <c r="F74" s="152"/>
      <c r="G74" s="152"/>
      <c r="H74" s="768" t="s">
        <v>271</v>
      </c>
      <c r="I74" s="768"/>
      <c r="J74" s="769"/>
      <c r="K74" s="260">
        <f>SUM(K75:K78)</f>
        <v>0</v>
      </c>
      <c r="L74" s="278" t="s">
        <v>696</v>
      </c>
      <c r="M74" s="279"/>
      <c r="N74" s="280"/>
      <c r="O74" s="1"/>
    </row>
    <row r="75" spans="2:15" ht="15" customHeight="1" outlineLevel="5" x14ac:dyDescent="0.2">
      <c r="B75" s="758"/>
      <c r="D75" s="259"/>
      <c r="E75" s="152"/>
      <c r="F75" s="152"/>
      <c r="G75" s="152"/>
      <c r="H75" s="152"/>
      <c r="I75" s="765" t="s">
        <v>272</v>
      </c>
      <c r="J75" s="766"/>
      <c r="K75" s="572">
        <v>0</v>
      </c>
      <c r="L75" s="260"/>
      <c r="M75" s="279"/>
      <c r="N75" s="280"/>
      <c r="O75" s="1"/>
    </row>
    <row r="76" spans="2:15" ht="15" customHeight="1" outlineLevel="5" x14ac:dyDescent="0.2">
      <c r="B76" s="758"/>
      <c r="D76" s="259"/>
      <c r="E76" s="152"/>
      <c r="F76" s="152"/>
      <c r="G76" s="152"/>
      <c r="H76" s="152"/>
      <c r="I76" s="765" t="s">
        <v>273</v>
      </c>
      <c r="J76" s="766"/>
      <c r="K76" s="572">
        <v>0</v>
      </c>
      <c r="L76" s="260"/>
      <c r="M76" s="279"/>
      <c r="N76" s="280"/>
      <c r="O76" s="1"/>
    </row>
    <row r="77" spans="2:15" ht="15" customHeight="1" outlineLevel="5" x14ac:dyDescent="0.2">
      <c r="B77" s="758"/>
      <c r="D77" s="259"/>
      <c r="E77" s="152"/>
      <c r="F77" s="152"/>
      <c r="G77" s="152"/>
      <c r="H77" s="152"/>
      <c r="I77" s="765" t="s">
        <v>274</v>
      </c>
      <c r="J77" s="766"/>
      <c r="K77" s="572">
        <v>0</v>
      </c>
      <c r="L77" s="260"/>
      <c r="M77" s="279"/>
      <c r="N77" s="280"/>
      <c r="O77" s="1"/>
    </row>
    <row r="78" spans="2:15" ht="15" customHeight="1" outlineLevel="5" x14ac:dyDescent="0.2">
      <c r="B78" s="758"/>
      <c r="D78" s="259"/>
      <c r="E78" s="152"/>
      <c r="F78" s="152"/>
      <c r="G78" s="152"/>
      <c r="H78" s="152"/>
      <c r="I78" s="765" t="s">
        <v>275</v>
      </c>
      <c r="J78" s="766"/>
      <c r="K78" s="572">
        <v>0</v>
      </c>
      <c r="L78" s="260"/>
      <c r="M78" s="279"/>
      <c r="N78" s="280"/>
      <c r="O78" s="1"/>
    </row>
    <row r="79" spans="2:15" outlineLevel="4" x14ac:dyDescent="0.2">
      <c r="B79" s="758"/>
      <c r="D79" s="259"/>
      <c r="E79" s="152"/>
      <c r="F79" s="152"/>
      <c r="G79" s="152"/>
      <c r="H79" s="768" t="s">
        <v>276</v>
      </c>
      <c r="I79" s="768"/>
      <c r="J79" s="769"/>
      <c r="K79" s="260">
        <f>SUM(K80:K84)</f>
        <v>0</v>
      </c>
      <c r="L79" s="278" t="s">
        <v>697</v>
      </c>
      <c r="M79" s="279"/>
      <c r="N79" s="280"/>
      <c r="O79" s="1"/>
    </row>
    <row r="80" spans="2:15" ht="15" customHeight="1" outlineLevel="5" x14ac:dyDescent="0.2">
      <c r="B80" s="758"/>
      <c r="D80" s="259"/>
      <c r="E80" s="152"/>
      <c r="F80" s="152"/>
      <c r="G80" s="152"/>
      <c r="H80" s="152"/>
      <c r="I80" s="765" t="s">
        <v>277</v>
      </c>
      <c r="J80" s="766"/>
      <c r="K80" s="572">
        <v>0</v>
      </c>
      <c r="L80" s="260"/>
      <c r="M80" s="279"/>
      <c r="N80" s="280"/>
      <c r="O80" s="1"/>
    </row>
    <row r="81" spans="2:15" ht="15" customHeight="1" outlineLevel="5" x14ac:dyDescent="0.2">
      <c r="B81" s="758"/>
      <c r="D81" s="259"/>
      <c r="E81" s="152"/>
      <c r="F81" s="152"/>
      <c r="G81" s="152"/>
      <c r="H81" s="152"/>
      <c r="I81" s="768" t="s">
        <v>278</v>
      </c>
      <c r="J81" s="769"/>
      <c r="K81" s="572">
        <v>0</v>
      </c>
      <c r="L81" s="260"/>
      <c r="M81" s="279"/>
      <c r="N81" s="280"/>
      <c r="O81" s="1"/>
    </row>
    <row r="82" spans="2:15" ht="15" customHeight="1" outlineLevel="5" x14ac:dyDescent="0.2">
      <c r="B82" s="758"/>
      <c r="D82" s="259"/>
      <c r="E82" s="152"/>
      <c r="F82" s="152"/>
      <c r="G82" s="152"/>
      <c r="H82" s="152"/>
      <c r="I82" s="765" t="s">
        <v>279</v>
      </c>
      <c r="J82" s="766"/>
      <c r="K82" s="572">
        <v>0</v>
      </c>
      <c r="L82" s="260"/>
      <c r="M82" s="279"/>
      <c r="N82" s="280"/>
      <c r="O82" s="1"/>
    </row>
    <row r="83" spans="2:15" ht="15" customHeight="1" outlineLevel="5" x14ac:dyDescent="0.2">
      <c r="B83" s="758"/>
      <c r="D83" s="259"/>
      <c r="E83" s="152"/>
      <c r="F83" s="152"/>
      <c r="G83" s="152"/>
      <c r="H83" s="152"/>
      <c r="I83" s="765" t="s">
        <v>280</v>
      </c>
      <c r="J83" s="766"/>
      <c r="K83" s="572">
        <v>0</v>
      </c>
      <c r="L83" s="260"/>
      <c r="M83" s="279"/>
      <c r="N83" s="280"/>
      <c r="O83" s="1"/>
    </row>
    <row r="84" spans="2:15" ht="15" customHeight="1" outlineLevel="5" x14ac:dyDescent="0.2">
      <c r="B84" s="758"/>
      <c r="D84" s="259"/>
      <c r="E84" s="152"/>
      <c r="F84" s="152"/>
      <c r="G84" s="152"/>
      <c r="H84" s="152"/>
      <c r="I84" s="768" t="s">
        <v>281</v>
      </c>
      <c r="J84" s="769"/>
      <c r="K84" s="572">
        <v>0</v>
      </c>
      <c r="L84" s="260"/>
      <c r="M84" s="279"/>
      <c r="N84" s="280"/>
      <c r="O84" s="1"/>
    </row>
    <row r="85" spans="2:15" ht="16" outlineLevel="3" x14ac:dyDescent="0.2">
      <c r="B85" s="758"/>
      <c r="D85" s="259"/>
      <c r="E85" s="152"/>
      <c r="F85" s="152"/>
      <c r="G85" s="768" t="s">
        <v>282</v>
      </c>
      <c r="H85" s="768"/>
      <c r="I85" s="768"/>
      <c r="J85" s="769"/>
      <c r="K85" s="572">
        <v>121</v>
      </c>
      <c r="L85" s="260"/>
      <c r="M85" s="282" t="s">
        <v>636</v>
      </c>
      <c r="N85" s="287" t="s">
        <v>516</v>
      </c>
      <c r="O85" s="1"/>
    </row>
    <row r="86" spans="2:15" outlineLevel="3" x14ac:dyDescent="0.2">
      <c r="B86" s="758"/>
      <c r="D86" s="259"/>
      <c r="E86" s="152"/>
      <c r="F86" s="152"/>
      <c r="G86" s="765" t="s">
        <v>283</v>
      </c>
      <c r="H86" s="765"/>
      <c r="I86" s="765"/>
      <c r="J86" s="766"/>
      <c r="K86" s="572">
        <v>0</v>
      </c>
      <c r="L86" s="260"/>
      <c r="M86" s="279"/>
      <c r="N86" s="288"/>
      <c r="O86" s="1"/>
    </row>
    <row r="87" spans="2:15" ht="48" outlineLevel="3" x14ac:dyDescent="0.2">
      <c r="B87" s="758"/>
      <c r="D87" s="259"/>
      <c r="E87" s="152"/>
      <c r="F87" s="152"/>
      <c r="G87" s="768" t="s">
        <v>284</v>
      </c>
      <c r="H87" s="768"/>
      <c r="I87" s="768"/>
      <c r="J87" s="769"/>
      <c r="K87" s="572">
        <v>0</v>
      </c>
      <c r="L87" s="260"/>
      <c r="M87" s="279" t="s">
        <v>639</v>
      </c>
      <c r="N87" s="288"/>
      <c r="O87" s="1"/>
    </row>
    <row r="88" spans="2:15" outlineLevel="3" x14ac:dyDescent="0.2">
      <c r="B88" s="758"/>
      <c r="D88" s="259"/>
      <c r="E88" s="152"/>
      <c r="F88" s="152"/>
      <c r="G88" s="765" t="s">
        <v>513</v>
      </c>
      <c r="H88" s="765"/>
      <c r="I88" s="765"/>
      <c r="J88" s="766"/>
      <c r="K88" s="260">
        <f>SUM(K89:K91)</f>
        <v>1516.73</v>
      </c>
      <c r="L88" s="278" t="s">
        <v>698</v>
      </c>
      <c r="M88" s="279"/>
      <c r="N88" s="288"/>
      <c r="O88" s="1"/>
    </row>
    <row r="89" spans="2:15" outlineLevel="4" x14ac:dyDescent="0.2">
      <c r="B89" s="758"/>
      <c r="D89" s="259"/>
      <c r="E89" s="152"/>
      <c r="F89" s="152"/>
      <c r="G89" s="245"/>
      <c r="H89" s="765" t="s">
        <v>514</v>
      </c>
      <c r="I89" s="765"/>
      <c r="J89" s="766"/>
      <c r="K89" s="572">
        <f>45.66*3</f>
        <v>136.97999999999999</v>
      </c>
      <c r="L89" s="278" t="s">
        <v>631</v>
      </c>
      <c r="M89" s="282" t="s">
        <v>640</v>
      </c>
      <c r="N89" s="286" t="s">
        <v>641</v>
      </c>
      <c r="O89" s="1"/>
    </row>
    <row r="90" spans="2:15" ht="32" outlineLevel="4" x14ac:dyDescent="0.2">
      <c r="B90" s="758"/>
      <c r="D90" s="259"/>
      <c r="E90" s="152"/>
      <c r="F90" s="152"/>
      <c r="G90" s="245"/>
      <c r="H90" s="768" t="s">
        <v>520</v>
      </c>
      <c r="I90" s="768"/>
      <c r="J90" s="769"/>
      <c r="K90" s="572">
        <v>50</v>
      </c>
      <c r="L90" s="260"/>
      <c r="M90" s="283" t="s">
        <v>642</v>
      </c>
      <c r="N90" s="287" t="s">
        <v>643</v>
      </c>
      <c r="O90" s="1"/>
    </row>
    <row r="91" spans="2:15" outlineLevel="4" x14ac:dyDescent="0.2">
      <c r="B91" s="758"/>
      <c r="D91" s="259"/>
      <c r="E91" s="152"/>
      <c r="F91" s="152"/>
      <c r="G91" s="245"/>
      <c r="H91" s="765" t="s">
        <v>521</v>
      </c>
      <c r="I91" s="765"/>
      <c r="J91" s="766"/>
      <c r="K91" s="572">
        <v>1329.75</v>
      </c>
      <c r="L91" s="260"/>
      <c r="M91" s="282" t="s">
        <v>636</v>
      </c>
      <c r="N91" s="286" t="s">
        <v>582</v>
      </c>
      <c r="O91" s="1"/>
    </row>
    <row r="92" spans="2:15" outlineLevel="4" x14ac:dyDescent="0.2">
      <c r="B92" s="758"/>
      <c r="D92" s="259"/>
      <c r="E92" s="152"/>
      <c r="F92" s="152"/>
      <c r="G92" s="245"/>
      <c r="H92" s="765" t="s">
        <v>522</v>
      </c>
      <c r="I92" s="765"/>
      <c r="J92" s="766"/>
      <c r="K92" s="572">
        <v>0</v>
      </c>
      <c r="L92" s="260"/>
      <c r="M92" s="284" t="s">
        <v>644</v>
      </c>
      <c r="N92" s="282"/>
      <c r="O92" s="1"/>
    </row>
    <row r="93" spans="2:15" outlineLevel="4" x14ac:dyDescent="0.2">
      <c r="B93" s="758"/>
      <c r="D93" s="259"/>
      <c r="E93" s="152"/>
      <c r="F93" s="152"/>
      <c r="G93" s="245"/>
      <c r="H93" s="765" t="s">
        <v>523</v>
      </c>
      <c r="I93" s="765"/>
      <c r="J93" s="766"/>
      <c r="K93" s="572">
        <v>0</v>
      </c>
      <c r="L93" s="260"/>
      <c r="M93" s="284" t="s">
        <v>646</v>
      </c>
      <c r="N93" s="282"/>
      <c r="O93" s="1"/>
    </row>
    <row r="94" spans="2:15" s="89" customFormat="1" outlineLevel="2" x14ac:dyDescent="0.2">
      <c r="B94" s="758"/>
      <c r="D94" s="259"/>
      <c r="E94" s="152"/>
      <c r="F94" s="768" t="s">
        <v>285</v>
      </c>
      <c r="G94" s="768"/>
      <c r="H94" s="768"/>
      <c r="I94" s="768"/>
      <c r="J94" s="769"/>
      <c r="K94" s="260">
        <f>SUM(K95:K101,K107,K112:K113)</f>
        <v>6276</v>
      </c>
      <c r="L94" s="278" t="s">
        <v>699</v>
      </c>
      <c r="M94" s="279"/>
      <c r="N94" s="288"/>
    </row>
    <row r="95" spans="2:15" ht="16" outlineLevel="3" x14ac:dyDescent="0.2">
      <c r="B95" s="758"/>
      <c r="D95" s="259"/>
      <c r="E95" s="152"/>
      <c r="F95" s="152"/>
      <c r="G95" s="765" t="s">
        <v>286</v>
      </c>
      <c r="H95" s="765"/>
      <c r="I95" s="765"/>
      <c r="J95" s="766"/>
      <c r="K95" s="572">
        <v>1276</v>
      </c>
      <c r="L95" s="260"/>
      <c r="M95" s="279" t="s">
        <v>648</v>
      </c>
      <c r="N95" s="289" t="s">
        <v>647</v>
      </c>
      <c r="O95" s="1"/>
    </row>
    <row r="96" spans="2:15" ht="16" outlineLevel="3" x14ac:dyDescent="0.2">
      <c r="B96" s="758"/>
      <c r="D96" s="259"/>
      <c r="E96" s="152"/>
      <c r="F96" s="152"/>
      <c r="G96" s="765" t="s">
        <v>287</v>
      </c>
      <c r="H96" s="765"/>
      <c r="I96" s="765"/>
      <c r="J96" s="766"/>
      <c r="K96" s="572">
        <v>5000</v>
      </c>
      <c r="L96" s="260"/>
      <c r="M96" s="279" t="s">
        <v>576</v>
      </c>
      <c r="N96" s="283"/>
      <c r="O96" s="1"/>
    </row>
    <row r="97" spans="2:15" outlineLevel="3" x14ac:dyDescent="0.2">
      <c r="B97" s="758"/>
      <c r="D97" s="259"/>
      <c r="E97" s="152"/>
      <c r="F97" s="152"/>
      <c r="G97" s="765" t="s">
        <v>288</v>
      </c>
      <c r="H97" s="765"/>
      <c r="I97" s="765"/>
      <c r="J97" s="766"/>
      <c r="K97" s="572">
        <v>0</v>
      </c>
      <c r="L97" s="260"/>
      <c r="M97" s="279"/>
      <c r="N97" s="283"/>
      <c r="O97" s="1"/>
    </row>
    <row r="98" spans="2:15" outlineLevel="3" x14ac:dyDescent="0.2">
      <c r="B98" s="758"/>
      <c r="D98" s="259"/>
      <c r="E98" s="152"/>
      <c r="F98" s="152"/>
      <c r="G98" s="765" t="s">
        <v>289</v>
      </c>
      <c r="H98" s="765"/>
      <c r="I98" s="765"/>
      <c r="J98" s="766"/>
      <c r="K98" s="572">
        <v>0</v>
      </c>
      <c r="L98" s="260"/>
      <c r="M98" s="279"/>
      <c r="N98" s="283"/>
      <c r="O98" s="1"/>
    </row>
    <row r="99" spans="2:15" outlineLevel="3" x14ac:dyDescent="0.2">
      <c r="B99" s="758"/>
      <c r="D99" s="259"/>
      <c r="E99" s="152"/>
      <c r="F99" s="152"/>
      <c r="G99" s="765" t="s">
        <v>290</v>
      </c>
      <c r="H99" s="765"/>
      <c r="I99" s="765"/>
      <c r="J99" s="766"/>
      <c r="K99" s="572">
        <v>0</v>
      </c>
      <c r="L99" s="260"/>
      <c r="M99" s="279"/>
      <c r="N99" s="280"/>
      <c r="O99" s="1"/>
    </row>
    <row r="100" spans="2:15" outlineLevel="3" x14ac:dyDescent="0.2">
      <c r="B100" s="758"/>
      <c r="D100" s="259"/>
      <c r="E100" s="152"/>
      <c r="F100" s="152"/>
      <c r="G100" s="765" t="s">
        <v>291</v>
      </c>
      <c r="H100" s="765"/>
      <c r="I100" s="765"/>
      <c r="J100" s="766"/>
      <c r="K100" s="572">
        <v>0</v>
      </c>
      <c r="L100" s="260"/>
      <c r="M100" s="279"/>
      <c r="N100" s="280"/>
      <c r="O100" s="1"/>
    </row>
    <row r="101" spans="2:15" outlineLevel="3" x14ac:dyDescent="0.2">
      <c r="B101" s="758"/>
      <c r="D101" s="259"/>
      <c r="E101" s="152"/>
      <c r="F101" s="152"/>
      <c r="G101" s="765" t="s">
        <v>292</v>
      </c>
      <c r="H101" s="765"/>
      <c r="I101" s="765"/>
      <c r="J101" s="766"/>
      <c r="K101" s="260">
        <f>SUM(K102:K106)</f>
        <v>0</v>
      </c>
      <c r="L101" s="278" t="s">
        <v>700</v>
      </c>
      <c r="M101" s="279"/>
      <c r="N101" s="280"/>
      <c r="O101" s="1"/>
    </row>
    <row r="102" spans="2:15" ht="15" customHeight="1" outlineLevel="4" x14ac:dyDescent="0.2">
      <c r="B102" s="758"/>
      <c r="D102" s="259"/>
      <c r="E102" s="152"/>
      <c r="F102" s="152"/>
      <c r="G102" s="152"/>
      <c r="H102" s="765" t="s">
        <v>293</v>
      </c>
      <c r="I102" s="765"/>
      <c r="J102" s="766"/>
      <c r="K102" s="572">
        <v>0</v>
      </c>
      <c r="L102" s="260"/>
      <c r="M102" s="279"/>
      <c r="N102" s="282"/>
      <c r="O102" s="1"/>
    </row>
    <row r="103" spans="2:15" ht="15" customHeight="1" outlineLevel="4" x14ac:dyDescent="0.2">
      <c r="B103" s="758"/>
      <c r="D103" s="259"/>
      <c r="E103" s="152"/>
      <c r="F103" s="152"/>
      <c r="G103" s="152"/>
      <c r="H103" s="765" t="s">
        <v>294</v>
      </c>
      <c r="I103" s="765"/>
      <c r="J103" s="766"/>
      <c r="K103" s="572">
        <v>0</v>
      </c>
      <c r="L103" s="260"/>
      <c r="M103" s="279"/>
      <c r="N103" s="280"/>
      <c r="O103" s="1"/>
    </row>
    <row r="104" spans="2:15" ht="15" customHeight="1" outlineLevel="4" x14ac:dyDescent="0.2">
      <c r="B104" s="758"/>
      <c r="D104" s="259"/>
      <c r="E104" s="152"/>
      <c r="F104" s="152"/>
      <c r="G104" s="152"/>
      <c r="H104" s="765" t="s">
        <v>295</v>
      </c>
      <c r="I104" s="765"/>
      <c r="J104" s="766"/>
      <c r="K104" s="572">
        <v>0</v>
      </c>
      <c r="L104" s="260"/>
      <c r="M104" s="279"/>
      <c r="N104" s="280"/>
      <c r="O104" s="1"/>
    </row>
    <row r="105" spans="2:15" ht="15" customHeight="1" outlineLevel="4" x14ac:dyDescent="0.2">
      <c r="B105" s="758"/>
      <c r="D105" s="259"/>
      <c r="E105" s="152"/>
      <c r="F105" s="152"/>
      <c r="G105" s="152"/>
      <c r="H105" s="765" t="s">
        <v>296</v>
      </c>
      <c r="I105" s="765"/>
      <c r="J105" s="766"/>
      <c r="K105" s="572">
        <v>0</v>
      </c>
      <c r="L105" s="260"/>
      <c r="M105" s="279"/>
      <c r="N105" s="280"/>
      <c r="O105" s="1"/>
    </row>
    <row r="106" spans="2:15" ht="15" customHeight="1" outlineLevel="4" x14ac:dyDescent="0.2">
      <c r="B106" s="758"/>
      <c r="D106" s="259"/>
      <c r="E106" s="152"/>
      <c r="F106" s="152"/>
      <c r="G106" s="152"/>
      <c r="H106" s="765" t="s">
        <v>297</v>
      </c>
      <c r="I106" s="765"/>
      <c r="J106" s="766"/>
      <c r="K106" s="572">
        <v>0</v>
      </c>
      <c r="L106" s="260"/>
      <c r="M106" s="279"/>
      <c r="N106" s="280"/>
      <c r="O106" s="1"/>
    </row>
    <row r="107" spans="2:15" outlineLevel="3" x14ac:dyDescent="0.2">
      <c r="B107" s="758"/>
      <c r="D107" s="259"/>
      <c r="E107" s="152"/>
      <c r="F107" s="152"/>
      <c r="G107" s="768" t="s">
        <v>298</v>
      </c>
      <c r="H107" s="768"/>
      <c r="I107" s="768"/>
      <c r="J107" s="769"/>
      <c r="K107" s="260">
        <f>SUM(K108:K111)</f>
        <v>0</v>
      </c>
      <c r="L107" s="278" t="s">
        <v>701</v>
      </c>
      <c r="M107" s="279"/>
      <c r="N107" s="280"/>
      <c r="O107" s="1"/>
    </row>
    <row r="108" spans="2:15" ht="15" customHeight="1" outlineLevel="4" x14ac:dyDescent="0.2">
      <c r="B108" s="758"/>
      <c r="D108" s="259"/>
      <c r="E108" s="152"/>
      <c r="F108" s="152"/>
      <c r="G108" s="152"/>
      <c r="H108" s="765" t="s">
        <v>299</v>
      </c>
      <c r="I108" s="765"/>
      <c r="J108" s="766"/>
      <c r="K108" s="572">
        <v>0</v>
      </c>
      <c r="L108" s="260"/>
      <c r="M108" s="279"/>
      <c r="N108" s="280"/>
      <c r="O108" s="1"/>
    </row>
    <row r="109" spans="2:15" ht="15" customHeight="1" outlineLevel="4" x14ac:dyDescent="0.2">
      <c r="B109" s="758"/>
      <c r="D109" s="259"/>
      <c r="E109" s="152"/>
      <c r="F109" s="152"/>
      <c r="G109" s="152"/>
      <c r="H109" s="765" t="s">
        <v>300</v>
      </c>
      <c r="I109" s="765"/>
      <c r="J109" s="766"/>
      <c r="K109" s="572">
        <v>0</v>
      </c>
      <c r="L109" s="260"/>
      <c r="M109" s="279"/>
      <c r="N109" s="280"/>
      <c r="O109" s="1"/>
    </row>
    <row r="110" spans="2:15" ht="15" customHeight="1" outlineLevel="4" x14ac:dyDescent="0.2">
      <c r="B110" s="758"/>
      <c r="D110" s="259"/>
      <c r="E110" s="152"/>
      <c r="F110" s="152"/>
      <c r="G110" s="152"/>
      <c r="H110" s="765" t="s">
        <v>301</v>
      </c>
      <c r="I110" s="765"/>
      <c r="J110" s="766"/>
      <c r="K110" s="572">
        <v>0</v>
      </c>
      <c r="L110" s="260"/>
      <c r="M110" s="279"/>
      <c r="N110" s="280"/>
      <c r="O110" s="1"/>
    </row>
    <row r="111" spans="2:15" ht="15" customHeight="1" outlineLevel="4" x14ac:dyDescent="0.2">
      <c r="B111" s="758"/>
      <c r="D111" s="259"/>
      <c r="E111" s="152"/>
      <c r="F111" s="152"/>
      <c r="G111" s="152"/>
      <c r="H111" s="765" t="s">
        <v>302</v>
      </c>
      <c r="I111" s="765"/>
      <c r="J111" s="766"/>
      <c r="K111" s="572">
        <v>0</v>
      </c>
      <c r="L111" s="260"/>
      <c r="M111" s="279"/>
      <c r="N111" s="280"/>
      <c r="O111" s="1"/>
    </row>
    <row r="112" spans="2:15" outlineLevel="3" x14ac:dyDescent="0.2">
      <c r="B112" s="758"/>
      <c r="D112" s="259"/>
      <c r="E112" s="152"/>
      <c r="F112" s="152"/>
      <c r="G112" s="768" t="s">
        <v>303</v>
      </c>
      <c r="H112" s="768"/>
      <c r="I112" s="768"/>
      <c r="J112" s="769"/>
      <c r="K112" s="572">
        <v>0</v>
      </c>
      <c r="L112" s="260"/>
      <c r="M112" s="279"/>
      <c r="N112" s="280"/>
      <c r="O112" s="1"/>
    </row>
    <row r="113" spans="2:15" ht="16" outlineLevel="3" x14ac:dyDescent="0.2">
      <c r="B113" s="758"/>
      <c r="D113" s="259"/>
      <c r="E113" s="152"/>
      <c r="F113" s="152"/>
      <c r="G113" s="765" t="s">
        <v>304</v>
      </c>
      <c r="H113" s="765"/>
      <c r="I113" s="765"/>
      <c r="J113" s="766"/>
      <c r="K113" s="572">
        <v>0</v>
      </c>
      <c r="L113" s="260"/>
      <c r="M113" s="279" t="s">
        <v>649</v>
      </c>
      <c r="N113" s="283"/>
      <c r="O113" s="1"/>
    </row>
    <row r="114" spans="2:15" s="89" customFormat="1" outlineLevel="1" x14ac:dyDescent="0.2">
      <c r="B114" s="758"/>
      <c r="D114" s="259"/>
      <c r="E114" s="768" t="s">
        <v>305</v>
      </c>
      <c r="F114" s="768"/>
      <c r="G114" s="768"/>
      <c r="H114" s="768"/>
      <c r="I114" s="768"/>
      <c r="J114" s="769"/>
      <c r="K114" s="260">
        <f>SUM(K115,K148,K159,K258,K259,K272,K304)</f>
        <v>2882108</v>
      </c>
      <c r="L114" s="278" t="s">
        <v>702</v>
      </c>
      <c r="M114" s="279"/>
      <c r="N114" s="280"/>
    </row>
    <row r="115" spans="2:15" s="89" customFormat="1" outlineLevel="2" x14ac:dyDescent="0.2">
      <c r="B115" s="758"/>
      <c r="D115" s="259"/>
      <c r="E115" s="152"/>
      <c r="F115" s="765" t="s">
        <v>306</v>
      </c>
      <c r="G115" s="765"/>
      <c r="H115" s="765"/>
      <c r="I115" s="765"/>
      <c r="J115" s="766"/>
      <c r="K115" s="260">
        <f>SUM(K116,K120,K123,K124,K127,K133,K137,K143)</f>
        <v>1916000</v>
      </c>
      <c r="L115" s="278" t="s">
        <v>703</v>
      </c>
      <c r="M115" s="279"/>
      <c r="N115" s="288"/>
    </row>
    <row r="116" spans="2:15" outlineLevel="3" x14ac:dyDescent="0.2">
      <c r="B116" s="758"/>
      <c r="D116" s="259"/>
      <c r="E116" s="152"/>
      <c r="F116" s="152"/>
      <c r="G116" s="765" t="s">
        <v>307</v>
      </c>
      <c r="H116" s="765"/>
      <c r="I116" s="765"/>
      <c r="J116" s="766"/>
      <c r="K116" s="260">
        <f>SUM(K117:K119)</f>
        <v>260000</v>
      </c>
      <c r="L116" s="278" t="s">
        <v>704</v>
      </c>
      <c r="M116" s="279"/>
      <c r="N116" s="280"/>
      <c r="O116" s="1"/>
    </row>
    <row r="117" spans="2:15" ht="48" outlineLevel="4" x14ac:dyDescent="0.2">
      <c r="B117" s="758"/>
      <c r="D117" s="259"/>
      <c r="E117" s="152"/>
      <c r="F117" s="152"/>
      <c r="G117" s="152"/>
      <c r="H117" s="765" t="s">
        <v>308</v>
      </c>
      <c r="I117" s="765"/>
      <c r="J117" s="766"/>
      <c r="K117" s="572">
        <v>75000</v>
      </c>
      <c r="L117" s="260"/>
      <c r="M117" s="279" t="s">
        <v>650</v>
      </c>
      <c r="N117" s="280"/>
      <c r="O117" s="1"/>
    </row>
    <row r="118" spans="2:15" ht="32" outlineLevel="4" x14ac:dyDescent="0.2">
      <c r="B118" s="758"/>
      <c r="D118" s="259"/>
      <c r="E118" s="152"/>
      <c r="F118" s="152"/>
      <c r="G118" s="152"/>
      <c r="H118" s="765" t="s">
        <v>309</v>
      </c>
      <c r="I118" s="765"/>
      <c r="J118" s="766"/>
      <c r="K118" s="572">
        <v>35000</v>
      </c>
      <c r="L118" s="260"/>
      <c r="M118" s="279" t="s">
        <v>651</v>
      </c>
      <c r="N118" s="280"/>
      <c r="O118" s="1" t="s">
        <v>183</v>
      </c>
    </row>
    <row r="119" spans="2:15" ht="16" outlineLevel="4" x14ac:dyDescent="0.2">
      <c r="B119" s="758"/>
      <c r="D119" s="259"/>
      <c r="E119" s="152"/>
      <c r="F119" s="152"/>
      <c r="G119" s="152"/>
      <c r="H119" s="765" t="s">
        <v>310</v>
      </c>
      <c r="I119" s="765"/>
      <c r="J119" s="766"/>
      <c r="K119" s="572">
        <v>150000</v>
      </c>
      <c r="L119" s="260"/>
      <c r="M119" s="279" t="s">
        <v>652</v>
      </c>
      <c r="N119" s="280"/>
      <c r="O119" s="1"/>
    </row>
    <row r="120" spans="2:15" ht="48" outlineLevel="3" x14ac:dyDescent="0.2">
      <c r="B120" s="758"/>
      <c r="D120" s="259"/>
      <c r="E120" s="152"/>
      <c r="F120" s="152"/>
      <c r="G120" s="768" t="s">
        <v>311</v>
      </c>
      <c r="H120" s="768"/>
      <c r="I120" s="768"/>
      <c r="J120" s="769"/>
      <c r="K120" s="260">
        <f>SUM(K121:K122)</f>
        <v>0</v>
      </c>
      <c r="L120" s="278" t="s">
        <v>705</v>
      </c>
      <c r="M120" s="279" t="s">
        <v>653</v>
      </c>
      <c r="N120" s="280"/>
      <c r="O120" s="1"/>
    </row>
    <row r="121" spans="2:15" ht="15" customHeight="1" outlineLevel="4" x14ac:dyDescent="0.2">
      <c r="B121" s="758"/>
      <c r="D121" s="259"/>
      <c r="E121" s="152"/>
      <c r="F121" s="152"/>
      <c r="G121" s="152"/>
      <c r="H121" s="765" t="s">
        <v>312</v>
      </c>
      <c r="I121" s="765"/>
      <c r="J121" s="766"/>
      <c r="K121" s="572">
        <v>0</v>
      </c>
      <c r="L121" s="260"/>
      <c r="M121" s="279"/>
      <c r="N121" s="280"/>
      <c r="O121" s="1"/>
    </row>
    <row r="122" spans="2:15" ht="15" customHeight="1" outlineLevel="4" x14ac:dyDescent="0.2">
      <c r="B122" s="758"/>
      <c r="D122" s="259"/>
      <c r="E122" s="152"/>
      <c r="F122" s="152"/>
      <c r="G122" s="152"/>
      <c r="H122" s="765" t="s">
        <v>313</v>
      </c>
      <c r="I122" s="765"/>
      <c r="J122" s="766"/>
      <c r="K122" s="572">
        <v>0</v>
      </c>
      <c r="L122" s="260"/>
      <c r="M122" s="279"/>
      <c r="N122" s="280"/>
      <c r="O122" s="1"/>
    </row>
    <row r="123" spans="2:15" outlineLevel="3" x14ac:dyDescent="0.2">
      <c r="B123" s="758"/>
      <c r="D123" s="259"/>
      <c r="E123" s="152"/>
      <c r="F123" s="152"/>
      <c r="G123" s="768" t="s">
        <v>314</v>
      </c>
      <c r="H123" s="768"/>
      <c r="I123" s="768"/>
      <c r="J123" s="769"/>
      <c r="K123" s="572">
        <v>0</v>
      </c>
      <c r="L123" s="260"/>
      <c r="M123" s="279"/>
      <c r="N123" s="280"/>
      <c r="O123" s="1"/>
    </row>
    <row r="124" spans="2:15" outlineLevel="3" x14ac:dyDescent="0.2">
      <c r="B124" s="758"/>
      <c r="D124" s="259"/>
      <c r="E124" s="152"/>
      <c r="F124" s="152"/>
      <c r="G124" s="765" t="s">
        <v>315</v>
      </c>
      <c r="H124" s="765"/>
      <c r="I124" s="765"/>
      <c r="J124" s="766"/>
      <c r="K124" s="260">
        <f>SUM(K125:K126)</f>
        <v>0</v>
      </c>
      <c r="L124" s="278" t="s">
        <v>706</v>
      </c>
      <c r="M124" s="279"/>
      <c r="N124" s="280"/>
      <c r="O124" s="1"/>
    </row>
    <row r="125" spans="2:15" ht="15" customHeight="1" outlineLevel="4" x14ac:dyDescent="0.2">
      <c r="B125" s="758"/>
      <c r="D125" s="259"/>
      <c r="E125" s="152"/>
      <c r="F125" s="152"/>
      <c r="G125" s="152"/>
      <c r="H125" s="765" t="s">
        <v>316</v>
      </c>
      <c r="I125" s="765"/>
      <c r="J125" s="766"/>
      <c r="K125" s="572">
        <v>0</v>
      </c>
      <c r="L125" s="260"/>
      <c r="M125" s="279"/>
      <c r="N125" s="280"/>
      <c r="O125" s="1"/>
    </row>
    <row r="126" spans="2:15" ht="15" customHeight="1" outlineLevel="4" x14ac:dyDescent="0.2">
      <c r="B126" s="758"/>
      <c r="D126" s="259"/>
      <c r="E126" s="152"/>
      <c r="F126" s="152"/>
      <c r="G126" s="152"/>
      <c r="H126" s="765" t="s">
        <v>317</v>
      </c>
      <c r="I126" s="765"/>
      <c r="J126" s="766"/>
      <c r="K126" s="572">
        <v>0</v>
      </c>
      <c r="L126" s="260"/>
      <c r="M126" s="279"/>
      <c r="N126" s="280"/>
      <c r="O126" s="1"/>
    </row>
    <row r="127" spans="2:15" outlineLevel="3" x14ac:dyDescent="0.2">
      <c r="B127" s="758"/>
      <c r="D127" s="259"/>
      <c r="E127" s="152"/>
      <c r="F127" s="152"/>
      <c r="G127" s="768" t="s">
        <v>318</v>
      </c>
      <c r="H127" s="768"/>
      <c r="I127" s="768"/>
      <c r="J127" s="769"/>
      <c r="K127" s="260">
        <f>SUM(K128:K132)</f>
        <v>1531000</v>
      </c>
      <c r="L127" s="278" t="s">
        <v>707</v>
      </c>
      <c r="M127" s="279"/>
      <c r="N127" s="280"/>
      <c r="O127" s="1"/>
    </row>
    <row r="128" spans="2:15" ht="16" outlineLevel="4" x14ac:dyDescent="0.2">
      <c r="B128" s="758"/>
      <c r="D128" s="259"/>
      <c r="E128" s="152"/>
      <c r="F128" s="152"/>
      <c r="G128" s="152"/>
      <c r="H128" s="765" t="s">
        <v>319</v>
      </c>
      <c r="I128" s="765"/>
      <c r="J128" s="766"/>
      <c r="K128" s="572">
        <v>600000</v>
      </c>
      <c r="L128" s="260"/>
      <c r="M128" s="279" t="s">
        <v>654</v>
      </c>
      <c r="N128" s="280"/>
      <c r="O128" s="1"/>
    </row>
    <row r="129" spans="2:15" ht="16" outlineLevel="4" x14ac:dyDescent="0.2">
      <c r="B129" s="758"/>
      <c r="D129" s="259"/>
      <c r="E129" s="152"/>
      <c r="F129" s="152"/>
      <c r="G129" s="152"/>
      <c r="H129" s="785" t="s">
        <v>320</v>
      </c>
      <c r="I129" s="765"/>
      <c r="J129" s="766"/>
      <c r="K129" s="260">
        <f>SUM(K130:K131)</f>
        <v>450000</v>
      </c>
      <c r="L129" s="278" t="s">
        <v>708</v>
      </c>
      <c r="M129" s="279" t="s">
        <v>510</v>
      </c>
      <c r="N129" s="280"/>
      <c r="O129" s="1"/>
    </row>
    <row r="130" spans="2:15" outlineLevel="5" x14ac:dyDescent="0.2">
      <c r="B130" s="758"/>
      <c r="D130" s="259"/>
      <c r="E130" s="152"/>
      <c r="F130" s="152"/>
      <c r="G130" s="152"/>
      <c r="H130" s="152"/>
      <c r="I130" s="765" t="s">
        <v>321</v>
      </c>
      <c r="J130" s="766"/>
      <c r="K130" s="572">
        <v>275000</v>
      </c>
      <c r="L130" s="260"/>
      <c r="M130" s="279"/>
      <c r="N130" s="280"/>
      <c r="O130" s="1"/>
    </row>
    <row r="131" spans="2:15" outlineLevel="5" x14ac:dyDescent="0.2">
      <c r="B131" s="758"/>
      <c r="D131" s="259"/>
      <c r="E131" s="152"/>
      <c r="F131" s="152"/>
      <c r="G131" s="152"/>
      <c r="H131" s="152"/>
      <c r="I131" s="765" t="s">
        <v>322</v>
      </c>
      <c r="J131" s="766"/>
      <c r="K131" s="572">
        <v>175000</v>
      </c>
      <c r="L131" s="260"/>
      <c r="M131" s="279"/>
      <c r="N131" s="280"/>
      <c r="O131" s="1"/>
    </row>
    <row r="132" spans="2:15" ht="32" outlineLevel="4" x14ac:dyDescent="0.2">
      <c r="B132" s="758"/>
      <c r="D132" s="259"/>
      <c r="E132" s="152"/>
      <c r="F132" s="152"/>
      <c r="G132" s="152"/>
      <c r="H132" s="768" t="s">
        <v>323</v>
      </c>
      <c r="I132" s="768"/>
      <c r="J132" s="769"/>
      <c r="K132" s="572">
        <v>31000</v>
      </c>
      <c r="L132" s="260"/>
      <c r="M132" s="279" t="s">
        <v>655</v>
      </c>
      <c r="N132" s="280"/>
      <c r="O132" s="1"/>
    </row>
    <row r="133" spans="2:15" outlineLevel="3" x14ac:dyDescent="0.2">
      <c r="B133" s="758"/>
      <c r="D133" s="259"/>
      <c r="E133" s="152"/>
      <c r="F133" s="152"/>
      <c r="G133" s="768" t="s">
        <v>324</v>
      </c>
      <c r="H133" s="768"/>
      <c r="I133" s="768"/>
      <c r="J133" s="769"/>
      <c r="K133" s="260">
        <f>SUM(K134:K136)</f>
        <v>0</v>
      </c>
      <c r="L133" s="278" t="s">
        <v>709</v>
      </c>
      <c r="M133" s="279"/>
      <c r="N133" s="280"/>
      <c r="O133" s="1"/>
    </row>
    <row r="134" spans="2:15" ht="15" customHeight="1" outlineLevel="4" x14ac:dyDescent="0.2">
      <c r="B134" s="758"/>
      <c r="D134" s="259"/>
      <c r="E134" s="152"/>
      <c r="F134" s="152"/>
      <c r="G134" s="152"/>
      <c r="H134" s="765" t="s">
        <v>325</v>
      </c>
      <c r="I134" s="765"/>
      <c r="J134" s="766"/>
      <c r="K134" s="572">
        <v>0</v>
      </c>
      <c r="L134" s="260"/>
      <c r="M134" s="279"/>
      <c r="N134" s="280"/>
      <c r="O134" s="1"/>
    </row>
    <row r="135" spans="2:15" ht="15" customHeight="1" outlineLevel="4" x14ac:dyDescent="0.2">
      <c r="B135" s="758"/>
      <c r="D135" s="259"/>
      <c r="E135" s="152"/>
      <c r="F135" s="152"/>
      <c r="G135" s="152"/>
      <c r="H135" s="765" t="s">
        <v>326</v>
      </c>
      <c r="I135" s="765"/>
      <c r="J135" s="766"/>
      <c r="K135" s="572">
        <v>0</v>
      </c>
      <c r="L135" s="260"/>
      <c r="M135" s="279"/>
      <c r="N135" s="280"/>
      <c r="O135" s="1"/>
    </row>
    <row r="136" spans="2:15" ht="15" customHeight="1" outlineLevel="4" x14ac:dyDescent="0.2">
      <c r="B136" s="758"/>
      <c r="D136" s="259"/>
      <c r="E136" s="152"/>
      <c r="F136" s="152"/>
      <c r="G136" s="152"/>
      <c r="H136" s="765" t="s">
        <v>327</v>
      </c>
      <c r="I136" s="765"/>
      <c r="J136" s="766"/>
      <c r="K136" s="572">
        <v>0</v>
      </c>
      <c r="L136" s="260"/>
      <c r="M136" s="279"/>
      <c r="N136" s="280"/>
      <c r="O136" s="1"/>
    </row>
    <row r="137" spans="2:15" ht="32" outlineLevel="3" x14ac:dyDescent="0.2">
      <c r="B137" s="758"/>
      <c r="D137" s="259"/>
      <c r="E137" s="152"/>
      <c r="F137" s="152"/>
      <c r="G137" s="768" t="s">
        <v>328</v>
      </c>
      <c r="H137" s="768"/>
      <c r="I137" s="768"/>
      <c r="J137" s="769"/>
      <c r="K137" s="260">
        <v>125000</v>
      </c>
      <c r="L137" s="278" t="s">
        <v>711</v>
      </c>
      <c r="M137" s="279" t="s">
        <v>710</v>
      </c>
      <c r="N137" s="280"/>
      <c r="O137" s="1"/>
    </row>
    <row r="138" spans="2:15" ht="15" customHeight="1" outlineLevel="4" x14ac:dyDescent="0.2">
      <c r="B138" s="758"/>
      <c r="D138" s="259"/>
      <c r="E138" s="152"/>
      <c r="F138" s="152"/>
      <c r="G138" s="152"/>
      <c r="H138" s="765" t="s">
        <v>329</v>
      </c>
      <c r="I138" s="765"/>
      <c r="J138" s="766"/>
      <c r="K138" s="572">
        <v>0</v>
      </c>
      <c r="L138" s="260"/>
      <c r="M138" s="279"/>
      <c r="N138" s="280"/>
      <c r="O138" s="1"/>
    </row>
    <row r="139" spans="2:15" ht="15" customHeight="1" outlineLevel="4" x14ac:dyDescent="0.2">
      <c r="B139" s="758"/>
      <c r="D139" s="259"/>
      <c r="E139" s="152"/>
      <c r="F139" s="152"/>
      <c r="G139" s="152"/>
      <c r="H139" s="765" t="s">
        <v>330</v>
      </c>
      <c r="I139" s="765"/>
      <c r="J139" s="766"/>
      <c r="K139" s="572">
        <v>0</v>
      </c>
      <c r="L139" s="260"/>
      <c r="M139" s="279"/>
      <c r="N139" s="280"/>
      <c r="O139" s="1"/>
    </row>
    <row r="140" spans="2:15" ht="15" customHeight="1" outlineLevel="4" x14ac:dyDescent="0.2">
      <c r="B140" s="758"/>
      <c r="D140" s="259"/>
      <c r="E140" s="152"/>
      <c r="F140" s="152"/>
      <c r="G140" s="152"/>
      <c r="H140" s="765" t="s">
        <v>331</v>
      </c>
      <c r="I140" s="765"/>
      <c r="J140" s="766"/>
      <c r="K140" s="572">
        <v>0</v>
      </c>
      <c r="L140" s="260"/>
      <c r="M140" s="279"/>
      <c r="N140" s="280"/>
      <c r="O140" s="1"/>
    </row>
    <row r="141" spans="2:15" ht="15" customHeight="1" outlineLevel="4" x14ac:dyDescent="0.2">
      <c r="B141" s="758"/>
      <c r="D141" s="259"/>
      <c r="E141" s="152"/>
      <c r="F141" s="152"/>
      <c r="G141" s="152"/>
      <c r="H141" s="765" t="s">
        <v>332</v>
      </c>
      <c r="I141" s="765"/>
      <c r="J141" s="766"/>
      <c r="K141" s="572">
        <v>0</v>
      </c>
      <c r="L141" s="260"/>
      <c r="M141" s="279"/>
      <c r="N141" s="280"/>
      <c r="O141" s="1"/>
    </row>
    <row r="142" spans="2:15" ht="15" customHeight="1" outlineLevel="4" x14ac:dyDescent="0.2">
      <c r="B142" s="758"/>
      <c r="D142" s="259"/>
      <c r="E142" s="152"/>
      <c r="F142" s="152"/>
      <c r="G142" s="152"/>
      <c r="H142" s="765" t="s">
        <v>333</v>
      </c>
      <c r="I142" s="765"/>
      <c r="J142" s="766"/>
      <c r="K142" s="572">
        <v>0</v>
      </c>
      <c r="L142" s="260"/>
      <c r="M142" s="279"/>
      <c r="N142" s="280"/>
      <c r="O142" s="1"/>
    </row>
    <row r="143" spans="2:15" outlineLevel="3" x14ac:dyDescent="0.2">
      <c r="B143" s="758"/>
      <c r="D143" s="259"/>
      <c r="E143" s="152"/>
      <c r="F143" s="152"/>
      <c r="G143" s="768" t="s">
        <v>334</v>
      </c>
      <c r="H143" s="768"/>
      <c r="I143" s="768"/>
      <c r="J143" s="769"/>
      <c r="K143" s="260">
        <f>SUM(K144:K147)</f>
        <v>0</v>
      </c>
      <c r="L143" s="278" t="s">
        <v>712</v>
      </c>
      <c r="M143" s="279"/>
      <c r="N143" s="280"/>
      <c r="O143" s="1"/>
    </row>
    <row r="144" spans="2:15" ht="15" customHeight="1" outlineLevel="4" x14ac:dyDescent="0.2">
      <c r="B144" s="758"/>
      <c r="D144" s="259"/>
      <c r="E144" s="152"/>
      <c r="F144" s="152"/>
      <c r="G144" s="152"/>
      <c r="H144" s="765" t="s">
        <v>335</v>
      </c>
      <c r="I144" s="765"/>
      <c r="J144" s="766"/>
      <c r="K144" s="572">
        <v>0</v>
      </c>
      <c r="L144" s="260"/>
      <c r="M144" s="279"/>
      <c r="N144" s="280"/>
      <c r="O144" s="1"/>
    </row>
    <row r="145" spans="2:15" ht="15" customHeight="1" outlineLevel="4" x14ac:dyDescent="0.2">
      <c r="B145" s="758"/>
      <c r="D145" s="259"/>
      <c r="E145" s="152"/>
      <c r="F145" s="152"/>
      <c r="G145" s="152"/>
      <c r="H145" s="765" t="s">
        <v>336</v>
      </c>
      <c r="I145" s="765"/>
      <c r="J145" s="766"/>
      <c r="K145" s="572">
        <v>0</v>
      </c>
      <c r="L145" s="260"/>
      <c r="M145" s="279"/>
      <c r="N145" s="280"/>
      <c r="O145" s="1"/>
    </row>
    <row r="146" spans="2:15" ht="15" customHeight="1" outlineLevel="4" x14ac:dyDescent="0.2">
      <c r="B146" s="758"/>
      <c r="D146" s="259"/>
      <c r="E146" s="152"/>
      <c r="F146" s="152"/>
      <c r="G146" s="152"/>
      <c r="H146" s="765" t="s">
        <v>337</v>
      </c>
      <c r="I146" s="765"/>
      <c r="J146" s="766"/>
      <c r="K146" s="572">
        <v>0</v>
      </c>
      <c r="L146" s="260"/>
      <c r="M146" s="279"/>
      <c r="N146" s="280"/>
      <c r="O146" s="1"/>
    </row>
    <row r="147" spans="2:15" ht="15" customHeight="1" outlineLevel="4" x14ac:dyDescent="0.2">
      <c r="B147" s="758"/>
      <c r="D147" s="259"/>
      <c r="E147" s="152"/>
      <c r="F147" s="152"/>
      <c r="G147" s="152"/>
      <c r="H147" s="765" t="s">
        <v>338</v>
      </c>
      <c r="I147" s="765"/>
      <c r="J147" s="766"/>
      <c r="K147" s="572">
        <v>0</v>
      </c>
      <c r="L147" s="260"/>
      <c r="M147" s="279"/>
      <c r="N147" s="280"/>
      <c r="O147" s="1"/>
    </row>
    <row r="148" spans="2:15" s="89" customFormat="1" ht="32" outlineLevel="2" x14ac:dyDescent="0.2">
      <c r="B148" s="758"/>
      <c r="D148" s="259"/>
      <c r="E148" s="152"/>
      <c r="F148" s="768" t="s">
        <v>339</v>
      </c>
      <c r="G148" s="768"/>
      <c r="H148" s="768"/>
      <c r="I148" s="768"/>
      <c r="J148" s="769"/>
      <c r="K148" s="260">
        <f>0.5*K115</f>
        <v>958000</v>
      </c>
      <c r="L148" s="278" t="s">
        <v>633</v>
      </c>
      <c r="M148" s="279" t="s">
        <v>747</v>
      </c>
      <c r="N148" s="288"/>
    </row>
    <row r="149" spans="2:15" ht="15" customHeight="1" outlineLevel="3" x14ac:dyDescent="0.2">
      <c r="B149" s="758"/>
      <c r="D149" s="259"/>
      <c r="E149" s="152"/>
      <c r="F149" s="152"/>
      <c r="G149" s="765" t="s">
        <v>340</v>
      </c>
      <c r="H149" s="765"/>
      <c r="I149" s="765"/>
      <c r="J149" s="766"/>
      <c r="K149" s="572">
        <v>0</v>
      </c>
      <c r="L149" s="260"/>
      <c r="M149" s="279"/>
      <c r="N149" s="280"/>
      <c r="O149" s="1"/>
    </row>
    <row r="150" spans="2:15" ht="15" customHeight="1" outlineLevel="3" x14ac:dyDescent="0.2">
      <c r="B150" s="758"/>
      <c r="D150" s="259"/>
      <c r="E150" s="152"/>
      <c r="F150" s="152"/>
      <c r="G150" s="765" t="s">
        <v>341</v>
      </c>
      <c r="H150" s="765"/>
      <c r="I150" s="765"/>
      <c r="J150" s="766"/>
      <c r="K150" s="572">
        <v>0</v>
      </c>
      <c r="L150" s="260"/>
      <c r="M150" s="279"/>
      <c r="N150" s="280"/>
      <c r="O150" s="1"/>
    </row>
    <row r="151" spans="2:15" ht="15" customHeight="1" outlineLevel="3" x14ac:dyDescent="0.2">
      <c r="B151" s="758"/>
      <c r="D151" s="259"/>
      <c r="E151" s="152"/>
      <c r="F151" s="152"/>
      <c r="G151" s="765" t="s">
        <v>342</v>
      </c>
      <c r="H151" s="765"/>
      <c r="I151" s="765"/>
      <c r="J151" s="766"/>
      <c r="K151" s="260">
        <f>SUM(K152:K154)</f>
        <v>0</v>
      </c>
      <c r="L151" s="278" t="s">
        <v>713</v>
      </c>
      <c r="M151" s="279"/>
      <c r="N151" s="280"/>
      <c r="O151" s="1"/>
    </row>
    <row r="152" spans="2:15" ht="15" customHeight="1" outlineLevel="4" x14ac:dyDescent="0.2">
      <c r="B152" s="758"/>
      <c r="D152" s="259"/>
      <c r="E152" s="152"/>
      <c r="F152" s="152"/>
      <c r="G152" s="152"/>
      <c r="H152" s="765" t="s">
        <v>343</v>
      </c>
      <c r="I152" s="765"/>
      <c r="J152" s="766"/>
      <c r="K152" s="572">
        <v>0</v>
      </c>
      <c r="L152" s="260"/>
      <c r="M152" s="279"/>
      <c r="N152" s="280"/>
      <c r="O152" s="1"/>
    </row>
    <row r="153" spans="2:15" ht="15" customHeight="1" outlineLevel="4" x14ac:dyDescent="0.2">
      <c r="B153" s="758"/>
      <c r="D153" s="259"/>
      <c r="E153" s="152"/>
      <c r="F153" s="152"/>
      <c r="G153" s="152"/>
      <c r="H153" s="765" t="s">
        <v>344</v>
      </c>
      <c r="I153" s="765"/>
      <c r="J153" s="766"/>
      <c r="K153" s="572">
        <v>0</v>
      </c>
      <c r="L153" s="260"/>
      <c r="M153" s="279"/>
      <c r="N153" s="280"/>
      <c r="O153" s="1"/>
    </row>
    <row r="154" spans="2:15" ht="15" customHeight="1" outlineLevel="4" x14ac:dyDescent="0.2">
      <c r="B154" s="758"/>
      <c r="D154" s="259"/>
      <c r="E154" s="152"/>
      <c r="F154" s="152"/>
      <c r="G154" s="152"/>
      <c r="H154" s="765" t="s">
        <v>345</v>
      </c>
      <c r="I154" s="765"/>
      <c r="J154" s="766"/>
      <c r="K154" s="572">
        <v>0</v>
      </c>
      <c r="L154" s="260"/>
      <c r="M154" s="279"/>
      <c r="N154" s="280"/>
      <c r="O154" s="1"/>
    </row>
    <row r="155" spans="2:15" ht="15" customHeight="1" outlineLevel="3" x14ac:dyDescent="0.2">
      <c r="B155" s="758"/>
      <c r="D155" s="259"/>
      <c r="E155" s="152"/>
      <c r="F155" s="152"/>
      <c r="G155" s="768" t="s">
        <v>346</v>
      </c>
      <c r="H155" s="768"/>
      <c r="I155" s="768"/>
      <c r="J155" s="769"/>
      <c r="K155" s="572">
        <v>0</v>
      </c>
      <c r="L155" s="260"/>
      <c r="M155" s="279"/>
      <c r="N155" s="280"/>
      <c r="O155" s="1"/>
    </row>
    <row r="156" spans="2:15" ht="15" customHeight="1" outlineLevel="3" x14ac:dyDescent="0.2">
      <c r="B156" s="758"/>
      <c r="D156" s="259"/>
      <c r="E156" s="152"/>
      <c r="F156" s="152"/>
      <c r="G156" s="765" t="s">
        <v>347</v>
      </c>
      <c r="H156" s="765"/>
      <c r="I156" s="765"/>
      <c r="J156" s="766"/>
      <c r="K156" s="260">
        <f>SUM(K157:K158)</f>
        <v>0</v>
      </c>
      <c r="L156" s="278" t="s">
        <v>714</v>
      </c>
      <c r="M156" s="279"/>
      <c r="N156" s="280"/>
      <c r="O156" s="1"/>
    </row>
    <row r="157" spans="2:15" ht="15" customHeight="1" outlineLevel="4" x14ac:dyDescent="0.2">
      <c r="B157" s="758"/>
      <c r="D157" s="259"/>
      <c r="E157" s="152"/>
      <c r="F157" s="152"/>
      <c r="G157" s="152"/>
      <c r="H157" s="765" t="s">
        <v>348</v>
      </c>
      <c r="I157" s="765"/>
      <c r="J157" s="766"/>
      <c r="K157" s="572">
        <v>0</v>
      </c>
      <c r="L157" s="260"/>
      <c r="M157" s="279"/>
      <c r="N157" s="280"/>
      <c r="O157" s="1"/>
    </row>
    <row r="158" spans="2:15" ht="15" customHeight="1" outlineLevel="4" x14ac:dyDescent="0.2">
      <c r="B158" s="758"/>
      <c r="D158" s="259"/>
      <c r="E158" s="152"/>
      <c r="F158" s="152"/>
      <c r="G158" s="152"/>
      <c r="H158" s="765" t="s">
        <v>349</v>
      </c>
      <c r="I158" s="765"/>
      <c r="J158" s="766"/>
      <c r="K158" s="572">
        <v>0</v>
      </c>
      <c r="L158" s="260"/>
      <c r="M158" s="279"/>
      <c r="N158" s="280"/>
      <c r="O158" s="1"/>
    </row>
    <row r="159" spans="2:15" s="89" customFormat="1" outlineLevel="2" x14ac:dyDescent="0.2">
      <c r="B159" s="758"/>
      <c r="D159" s="259"/>
      <c r="E159" s="152"/>
      <c r="F159" s="768" t="s">
        <v>350</v>
      </c>
      <c r="G159" s="768"/>
      <c r="H159" s="768"/>
      <c r="I159" s="768"/>
      <c r="J159" s="769"/>
      <c r="K159" s="260">
        <f>SUM(K160,K172,K182,K189,K228,K249)</f>
        <v>1628</v>
      </c>
      <c r="L159" s="278" t="s">
        <v>715</v>
      </c>
      <c r="M159" s="279"/>
      <c r="N159" s="288"/>
    </row>
    <row r="160" spans="2:15" outlineLevel="3" x14ac:dyDescent="0.2">
      <c r="B160" s="758"/>
      <c r="D160" s="259"/>
      <c r="E160" s="152"/>
      <c r="F160" s="152"/>
      <c r="G160" s="765" t="s">
        <v>351</v>
      </c>
      <c r="H160" s="765"/>
      <c r="I160" s="765"/>
      <c r="J160" s="766"/>
      <c r="K160" s="260">
        <f>SUM(K161,K164,K170:K171)</f>
        <v>1628</v>
      </c>
      <c r="L160" s="278" t="s">
        <v>716</v>
      </c>
      <c r="M160" s="279"/>
      <c r="N160" s="280"/>
      <c r="O160" s="1"/>
    </row>
    <row r="161" spans="2:15" outlineLevel="4" x14ac:dyDescent="0.2">
      <c r="B161" s="758"/>
      <c r="D161" s="259"/>
      <c r="E161" s="152"/>
      <c r="F161" s="152"/>
      <c r="G161" s="152"/>
      <c r="H161" s="765" t="s">
        <v>352</v>
      </c>
      <c r="I161" s="765"/>
      <c r="J161" s="766"/>
      <c r="K161" s="260">
        <f>SUM(K162:K163)</f>
        <v>1628</v>
      </c>
      <c r="L161" s="278" t="s">
        <v>717</v>
      </c>
      <c r="M161" s="279"/>
      <c r="N161" s="280"/>
      <c r="O161" s="1"/>
    </row>
    <row r="162" spans="2:15" ht="32" outlineLevel="5" x14ac:dyDescent="0.2">
      <c r="B162" s="758"/>
      <c r="D162" s="259"/>
      <c r="E162" s="152"/>
      <c r="F162" s="152"/>
      <c r="G162" s="152"/>
      <c r="H162" s="152"/>
      <c r="I162" s="765" t="s">
        <v>353</v>
      </c>
      <c r="J162" s="766"/>
      <c r="K162" s="572">
        <v>1628</v>
      </c>
      <c r="L162" s="260"/>
      <c r="M162" s="279" t="s">
        <v>879</v>
      </c>
      <c r="N162" s="280"/>
      <c r="O162" s="1"/>
    </row>
    <row r="163" spans="2:15" outlineLevel="5" x14ac:dyDescent="0.2">
      <c r="B163" s="758"/>
      <c r="D163" s="259"/>
      <c r="E163" s="152"/>
      <c r="F163" s="152"/>
      <c r="G163" s="152"/>
      <c r="H163" s="152"/>
      <c r="I163" s="765" t="s">
        <v>354</v>
      </c>
      <c r="J163" s="766"/>
      <c r="K163" s="572">
        <v>0</v>
      </c>
      <c r="L163" s="260"/>
      <c r="M163" s="279"/>
      <c r="N163" s="280"/>
      <c r="O163" s="1"/>
    </row>
    <row r="164" spans="2:15" outlineLevel="4" x14ac:dyDescent="0.2">
      <c r="B164" s="758"/>
      <c r="D164" s="259"/>
      <c r="E164" s="152"/>
      <c r="F164" s="152"/>
      <c r="G164" s="152"/>
      <c r="H164" s="768" t="s">
        <v>355</v>
      </c>
      <c r="I164" s="768"/>
      <c r="J164" s="769"/>
      <c r="K164" s="260">
        <f>SUM(K165:K169)</f>
        <v>0</v>
      </c>
      <c r="L164" s="278" t="s">
        <v>718</v>
      </c>
      <c r="M164" s="279"/>
      <c r="N164" s="280"/>
      <c r="O164" s="1"/>
    </row>
    <row r="165" spans="2:15" ht="15" customHeight="1" outlineLevel="5" x14ac:dyDescent="0.2">
      <c r="B165" s="758"/>
      <c r="D165" s="259"/>
      <c r="E165" s="152"/>
      <c r="F165" s="152"/>
      <c r="G165" s="152"/>
      <c r="H165" s="152"/>
      <c r="I165" s="765" t="s">
        <v>356</v>
      </c>
      <c r="J165" s="766"/>
      <c r="K165" s="572">
        <v>0</v>
      </c>
      <c r="L165" s="260"/>
      <c r="M165" s="279"/>
      <c r="N165" s="280"/>
      <c r="O165" s="1"/>
    </row>
    <row r="166" spans="2:15" ht="15" customHeight="1" outlineLevel="5" x14ac:dyDescent="0.2">
      <c r="B166" s="758"/>
      <c r="D166" s="259"/>
      <c r="E166" s="152"/>
      <c r="F166" s="152"/>
      <c r="G166" s="152"/>
      <c r="H166" s="152"/>
      <c r="I166" s="765" t="s">
        <v>357</v>
      </c>
      <c r="J166" s="766"/>
      <c r="K166" s="572">
        <v>0</v>
      </c>
      <c r="L166" s="260"/>
      <c r="M166" s="279"/>
      <c r="N166" s="280"/>
      <c r="O166" s="1"/>
    </row>
    <row r="167" spans="2:15" ht="15" customHeight="1" outlineLevel="5" x14ac:dyDescent="0.2">
      <c r="B167" s="758"/>
      <c r="D167" s="259"/>
      <c r="E167" s="152"/>
      <c r="F167" s="152"/>
      <c r="G167" s="152"/>
      <c r="H167" s="152"/>
      <c r="I167" s="765" t="s">
        <v>358</v>
      </c>
      <c r="J167" s="766"/>
      <c r="K167" s="572">
        <v>0</v>
      </c>
      <c r="L167" s="260"/>
      <c r="M167" s="279"/>
      <c r="N167" s="280"/>
      <c r="O167" s="1"/>
    </row>
    <row r="168" spans="2:15" ht="15" customHeight="1" outlineLevel="5" x14ac:dyDescent="0.2">
      <c r="B168" s="758"/>
      <c r="D168" s="259"/>
      <c r="E168" s="152"/>
      <c r="F168" s="152"/>
      <c r="G168" s="152"/>
      <c r="H168" s="152"/>
      <c r="I168" s="765" t="s">
        <v>359</v>
      </c>
      <c r="J168" s="766"/>
      <c r="K168" s="572">
        <v>0</v>
      </c>
      <c r="L168" s="260"/>
      <c r="M168" s="279"/>
      <c r="N168" s="280"/>
      <c r="O168" s="1"/>
    </row>
    <row r="169" spans="2:15" ht="15" customHeight="1" outlineLevel="5" x14ac:dyDescent="0.2">
      <c r="B169" s="758"/>
      <c r="D169" s="259"/>
      <c r="E169" s="152"/>
      <c r="F169" s="152"/>
      <c r="G169" s="152"/>
      <c r="H169" s="152"/>
      <c r="I169" s="765" t="s">
        <v>360</v>
      </c>
      <c r="J169" s="766"/>
      <c r="K169" s="572">
        <v>0</v>
      </c>
      <c r="L169" s="260"/>
      <c r="M169" s="279"/>
      <c r="N169" s="280"/>
      <c r="O169" s="1"/>
    </row>
    <row r="170" spans="2:15" outlineLevel="4" x14ac:dyDescent="0.2">
      <c r="B170" s="758"/>
      <c r="D170" s="259"/>
      <c r="E170" s="152"/>
      <c r="F170" s="152"/>
      <c r="G170" s="152"/>
      <c r="H170" s="768" t="s">
        <v>361</v>
      </c>
      <c r="I170" s="768"/>
      <c r="J170" s="769"/>
      <c r="K170" s="572">
        <v>0</v>
      </c>
      <c r="L170" s="260"/>
      <c r="M170" s="279"/>
      <c r="N170" s="280"/>
      <c r="O170" s="1"/>
    </row>
    <row r="171" spans="2:15" outlineLevel="4" x14ac:dyDescent="0.2">
      <c r="B171" s="758"/>
      <c r="D171" s="259"/>
      <c r="E171" s="152"/>
      <c r="F171" s="152"/>
      <c r="G171" s="152"/>
      <c r="H171" s="765" t="s">
        <v>362</v>
      </c>
      <c r="I171" s="765"/>
      <c r="J171" s="766"/>
      <c r="K171" s="572">
        <v>0</v>
      </c>
      <c r="L171" s="260"/>
      <c r="M171" s="279"/>
      <c r="N171" s="280"/>
      <c r="O171" s="1"/>
    </row>
    <row r="172" spans="2:15" outlineLevel="3" x14ac:dyDescent="0.2">
      <c r="B172" s="758"/>
      <c r="D172" s="259"/>
      <c r="E172" s="152"/>
      <c r="F172" s="152"/>
      <c r="G172" s="768" t="s">
        <v>363</v>
      </c>
      <c r="H172" s="768"/>
      <c r="I172" s="768"/>
      <c r="J172" s="769"/>
      <c r="K172" s="260">
        <f>SUM(K173:K174,K180:K181)</f>
        <v>0</v>
      </c>
      <c r="L172" s="278" t="s">
        <v>719</v>
      </c>
      <c r="M172" s="279"/>
      <c r="N172" s="280"/>
      <c r="O172" s="1"/>
    </row>
    <row r="173" spans="2:15" ht="15" customHeight="1" outlineLevel="4" x14ac:dyDescent="0.2">
      <c r="B173" s="758"/>
      <c r="D173" s="259"/>
      <c r="E173" s="152"/>
      <c r="F173" s="152"/>
      <c r="G173" s="152"/>
      <c r="H173" s="765" t="s">
        <v>364</v>
      </c>
      <c r="I173" s="765"/>
      <c r="J173" s="766"/>
      <c r="K173" s="572">
        <v>0</v>
      </c>
      <c r="L173" s="260"/>
      <c r="M173" s="279"/>
      <c r="N173" s="280"/>
      <c r="O173" s="1"/>
    </row>
    <row r="174" spans="2:15" ht="15" customHeight="1" outlineLevel="4" x14ac:dyDescent="0.2">
      <c r="B174" s="758"/>
      <c r="D174" s="259"/>
      <c r="E174" s="152"/>
      <c r="F174" s="152"/>
      <c r="G174" s="152"/>
      <c r="H174" s="765" t="s">
        <v>365</v>
      </c>
      <c r="I174" s="765"/>
      <c r="J174" s="766"/>
      <c r="K174" s="260">
        <f>SUM(K175:K179)</f>
        <v>0</v>
      </c>
      <c r="L174" s="278" t="s">
        <v>720</v>
      </c>
      <c r="M174" s="279"/>
      <c r="N174" s="280"/>
      <c r="O174" s="1"/>
    </row>
    <row r="175" spans="2:15" ht="15" customHeight="1" outlineLevel="5" x14ac:dyDescent="0.2">
      <c r="B175" s="758"/>
      <c r="D175" s="259"/>
      <c r="E175" s="152"/>
      <c r="F175" s="152"/>
      <c r="G175" s="152"/>
      <c r="H175" s="152"/>
      <c r="I175" s="765" t="s">
        <v>366</v>
      </c>
      <c r="J175" s="766"/>
      <c r="K175" s="572">
        <v>0</v>
      </c>
      <c r="L175" s="260"/>
      <c r="M175" s="279"/>
      <c r="N175" s="280"/>
      <c r="O175" s="1"/>
    </row>
    <row r="176" spans="2:15" ht="15" customHeight="1" outlineLevel="5" x14ac:dyDescent="0.2">
      <c r="B176" s="758"/>
      <c r="D176" s="259"/>
      <c r="E176" s="152"/>
      <c r="F176" s="152"/>
      <c r="G176" s="152"/>
      <c r="H176" s="152"/>
      <c r="I176" s="765" t="s">
        <v>367</v>
      </c>
      <c r="J176" s="766"/>
      <c r="K176" s="572">
        <v>0</v>
      </c>
      <c r="L176" s="260"/>
      <c r="M176" s="279"/>
      <c r="N176" s="280"/>
      <c r="O176" s="1"/>
    </row>
    <row r="177" spans="2:15" ht="15" customHeight="1" outlineLevel="5" x14ac:dyDescent="0.2">
      <c r="B177" s="758"/>
      <c r="D177" s="259"/>
      <c r="E177" s="152"/>
      <c r="F177" s="152"/>
      <c r="G177" s="152"/>
      <c r="H177" s="152"/>
      <c r="I177" s="765" t="s">
        <v>368</v>
      </c>
      <c r="J177" s="766"/>
      <c r="K177" s="572">
        <v>0</v>
      </c>
      <c r="L177" s="260"/>
      <c r="M177" s="279"/>
      <c r="N177" s="280"/>
      <c r="O177" s="1"/>
    </row>
    <row r="178" spans="2:15" ht="15" customHeight="1" outlineLevel="5" x14ac:dyDescent="0.2">
      <c r="B178" s="758"/>
      <c r="D178" s="259"/>
      <c r="E178" s="152"/>
      <c r="F178" s="152"/>
      <c r="G178" s="152"/>
      <c r="H178" s="152"/>
      <c r="I178" s="765" t="s">
        <v>369</v>
      </c>
      <c r="J178" s="766"/>
      <c r="K178" s="572">
        <v>0</v>
      </c>
      <c r="L178" s="260"/>
      <c r="M178" s="279"/>
      <c r="N178" s="280"/>
      <c r="O178" s="1"/>
    </row>
    <row r="179" spans="2:15" ht="15" customHeight="1" outlineLevel="5" x14ac:dyDescent="0.2">
      <c r="B179" s="758"/>
      <c r="D179" s="259"/>
      <c r="E179" s="152"/>
      <c r="F179" s="152"/>
      <c r="G179" s="152"/>
      <c r="H179" s="152"/>
      <c r="I179" s="765" t="s">
        <v>370</v>
      </c>
      <c r="J179" s="766"/>
      <c r="K179" s="572">
        <v>0</v>
      </c>
      <c r="L179" s="260"/>
      <c r="M179" s="279"/>
      <c r="N179" s="280"/>
      <c r="O179" s="1"/>
    </row>
    <row r="180" spans="2:15" ht="15" customHeight="1" outlineLevel="4" x14ac:dyDescent="0.2">
      <c r="B180" s="758"/>
      <c r="D180" s="259"/>
      <c r="E180" s="152"/>
      <c r="F180" s="152"/>
      <c r="G180" s="152"/>
      <c r="H180" s="768" t="s">
        <v>371</v>
      </c>
      <c r="I180" s="768"/>
      <c r="J180" s="769"/>
      <c r="K180" s="572">
        <v>0</v>
      </c>
      <c r="L180" s="260"/>
      <c r="M180" s="279"/>
      <c r="N180" s="280"/>
      <c r="O180" s="1"/>
    </row>
    <row r="181" spans="2:15" ht="15" customHeight="1" outlineLevel="4" x14ac:dyDescent="0.2">
      <c r="B181" s="758"/>
      <c r="D181" s="259"/>
      <c r="E181" s="152"/>
      <c r="F181" s="152"/>
      <c r="G181" s="152"/>
      <c r="H181" s="765" t="s">
        <v>372</v>
      </c>
      <c r="I181" s="765"/>
      <c r="J181" s="766"/>
      <c r="K181" s="572">
        <v>0</v>
      </c>
      <c r="L181" s="260"/>
      <c r="M181" s="279"/>
      <c r="N181" s="280"/>
      <c r="O181" s="1"/>
    </row>
    <row r="182" spans="2:15" outlineLevel="3" x14ac:dyDescent="0.2">
      <c r="B182" s="758"/>
      <c r="D182" s="259"/>
      <c r="E182" s="152"/>
      <c r="F182" s="152"/>
      <c r="G182" s="768" t="s">
        <v>373</v>
      </c>
      <c r="H182" s="768"/>
      <c r="I182" s="768"/>
      <c r="J182" s="769"/>
      <c r="K182" s="260">
        <f>SUM(K183:K188)</f>
        <v>0</v>
      </c>
      <c r="L182" s="278" t="s">
        <v>721</v>
      </c>
      <c r="M182" s="279"/>
      <c r="N182" s="280"/>
      <c r="O182" s="1"/>
    </row>
    <row r="183" spans="2:15" ht="15" customHeight="1" outlineLevel="4" x14ac:dyDescent="0.2">
      <c r="B183" s="758"/>
      <c r="D183" s="259"/>
      <c r="E183" s="152"/>
      <c r="F183" s="152"/>
      <c r="G183" s="152"/>
      <c r="H183" s="765" t="s">
        <v>374</v>
      </c>
      <c r="I183" s="765"/>
      <c r="J183" s="766"/>
      <c r="K183" s="572">
        <v>0</v>
      </c>
      <c r="L183" s="260"/>
      <c r="M183" s="279"/>
      <c r="N183" s="280"/>
      <c r="O183" s="1"/>
    </row>
    <row r="184" spans="2:15" ht="15" customHeight="1" outlineLevel="4" x14ac:dyDescent="0.2">
      <c r="B184" s="758"/>
      <c r="D184" s="259"/>
      <c r="E184" s="152"/>
      <c r="F184" s="152"/>
      <c r="G184" s="152"/>
      <c r="H184" s="765" t="s">
        <v>375</v>
      </c>
      <c r="I184" s="765"/>
      <c r="J184" s="766"/>
      <c r="K184" s="572">
        <v>0</v>
      </c>
      <c r="L184" s="260"/>
      <c r="M184" s="279"/>
      <c r="N184" s="280"/>
      <c r="O184" s="1"/>
    </row>
    <row r="185" spans="2:15" ht="15" customHeight="1" outlineLevel="4" x14ac:dyDescent="0.2">
      <c r="B185" s="758"/>
      <c r="D185" s="259"/>
      <c r="E185" s="152"/>
      <c r="F185" s="152"/>
      <c r="G185" s="152"/>
      <c r="H185" s="765" t="s">
        <v>376</v>
      </c>
      <c r="I185" s="765"/>
      <c r="J185" s="766"/>
      <c r="K185" s="572">
        <v>0</v>
      </c>
      <c r="L185" s="260"/>
      <c r="M185" s="279"/>
      <c r="N185" s="280"/>
      <c r="O185" s="1"/>
    </row>
    <row r="186" spans="2:15" ht="15" customHeight="1" outlineLevel="4" x14ac:dyDescent="0.2">
      <c r="B186" s="758"/>
      <c r="D186" s="259"/>
      <c r="E186" s="152"/>
      <c r="F186" s="152"/>
      <c r="G186" s="152"/>
      <c r="H186" s="765" t="s">
        <v>377</v>
      </c>
      <c r="I186" s="765"/>
      <c r="J186" s="766"/>
      <c r="K186" s="572">
        <v>0</v>
      </c>
      <c r="L186" s="260"/>
      <c r="M186" s="279"/>
      <c r="N186" s="280"/>
      <c r="O186" s="1"/>
    </row>
    <row r="187" spans="2:15" ht="15" customHeight="1" outlineLevel="4" x14ac:dyDescent="0.2">
      <c r="B187" s="758"/>
      <c r="D187" s="259"/>
      <c r="E187" s="152"/>
      <c r="F187" s="152"/>
      <c r="G187" s="152"/>
      <c r="H187" s="765" t="s">
        <v>378</v>
      </c>
      <c r="I187" s="765"/>
      <c r="J187" s="766"/>
      <c r="K187" s="572">
        <v>0</v>
      </c>
      <c r="L187" s="260"/>
      <c r="M187" s="279"/>
      <c r="N187" s="280"/>
      <c r="O187" s="1"/>
    </row>
    <row r="188" spans="2:15" ht="15" customHeight="1" outlineLevel="4" x14ac:dyDescent="0.2">
      <c r="B188" s="758"/>
      <c r="D188" s="259"/>
      <c r="E188" s="152"/>
      <c r="F188" s="152"/>
      <c r="G188" s="152"/>
      <c r="H188" s="765" t="s">
        <v>379</v>
      </c>
      <c r="I188" s="765"/>
      <c r="J188" s="766"/>
      <c r="K188" s="572">
        <v>0</v>
      </c>
      <c r="L188" s="260"/>
      <c r="M188" s="279"/>
      <c r="N188" s="280"/>
      <c r="O188" s="1"/>
    </row>
    <row r="189" spans="2:15" outlineLevel="3" x14ac:dyDescent="0.2">
      <c r="B189" s="758"/>
      <c r="D189" s="259"/>
      <c r="E189" s="152"/>
      <c r="F189" s="152"/>
      <c r="G189" s="768" t="s">
        <v>380</v>
      </c>
      <c r="H189" s="768"/>
      <c r="I189" s="768"/>
      <c r="J189" s="769"/>
      <c r="K189" s="260">
        <f>SUM(K190,K198,K205,K216)</f>
        <v>0</v>
      </c>
      <c r="L189" s="278" t="s">
        <v>722</v>
      </c>
      <c r="M189" s="279"/>
      <c r="N189" s="280"/>
      <c r="O189" s="1"/>
    </row>
    <row r="190" spans="2:15" ht="15" customHeight="1" outlineLevel="4" x14ac:dyDescent="0.2">
      <c r="B190" s="758"/>
      <c r="D190" s="259"/>
      <c r="E190" s="152"/>
      <c r="F190" s="152"/>
      <c r="G190" s="152"/>
      <c r="H190" s="765" t="s">
        <v>381</v>
      </c>
      <c r="I190" s="765"/>
      <c r="J190" s="766"/>
      <c r="K190" s="260">
        <f>SUM(K191:K197)</f>
        <v>0</v>
      </c>
      <c r="L190" s="278" t="s">
        <v>723</v>
      </c>
      <c r="M190" s="279"/>
      <c r="N190" s="280"/>
      <c r="O190" s="1"/>
    </row>
    <row r="191" spans="2:15" ht="15" customHeight="1" outlineLevel="5" x14ac:dyDescent="0.2">
      <c r="B191" s="758"/>
      <c r="D191" s="259"/>
      <c r="E191" s="152"/>
      <c r="F191" s="152"/>
      <c r="G191" s="152"/>
      <c r="H191" s="152"/>
      <c r="I191" s="765" t="s">
        <v>382</v>
      </c>
      <c r="J191" s="766"/>
      <c r="K191" s="572">
        <v>0</v>
      </c>
      <c r="L191" s="260"/>
      <c r="M191" s="279"/>
      <c r="N191" s="280"/>
      <c r="O191" s="1"/>
    </row>
    <row r="192" spans="2:15" ht="15" customHeight="1" outlineLevel="5" x14ac:dyDescent="0.2">
      <c r="B192" s="758"/>
      <c r="D192" s="259"/>
      <c r="E192" s="152"/>
      <c r="F192" s="152"/>
      <c r="G192" s="152"/>
      <c r="H192" s="152"/>
      <c r="I192" s="765" t="s">
        <v>383</v>
      </c>
      <c r="J192" s="766"/>
      <c r="K192" s="572">
        <v>0</v>
      </c>
      <c r="L192" s="260"/>
      <c r="M192" s="279"/>
      <c r="N192" s="280"/>
      <c r="O192" s="1"/>
    </row>
    <row r="193" spans="2:15" ht="15" customHeight="1" outlineLevel="5" x14ac:dyDescent="0.2">
      <c r="B193" s="758"/>
      <c r="D193" s="259"/>
      <c r="E193" s="152"/>
      <c r="F193" s="152"/>
      <c r="G193" s="152"/>
      <c r="H193" s="152"/>
      <c r="I193" s="765" t="s">
        <v>384</v>
      </c>
      <c r="J193" s="766"/>
      <c r="K193" s="572">
        <v>0</v>
      </c>
      <c r="L193" s="260"/>
      <c r="M193" s="279"/>
      <c r="N193" s="280"/>
      <c r="O193" s="1"/>
    </row>
    <row r="194" spans="2:15" ht="15" customHeight="1" outlineLevel="5" x14ac:dyDescent="0.2">
      <c r="B194" s="758"/>
      <c r="D194" s="259"/>
      <c r="E194" s="152"/>
      <c r="F194" s="152"/>
      <c r="G194" s="152"/>
      <c r="H194" s="152"/>
      <c r="I194" s="765" t="s">
        <v>385</v>
      </c>
      <c r="J194" s="766"/>
      <c r="K194" s="572">
        <v>0</v>
      </c>
      <c r="L194" s="260"/>
      <c r="M194" s="279"/>
      <c r="N194" s="280"/>
      <c r="O194" s="1"/>
    </row>
    <row r="195" spans="2:15" ht="15" customHeight="1" outlineLevel="5" x14ac:dyDescent="0.2">
      <c r="B195" s="758"/>
      <c r="D195" s="259"/>
      <c r="E195" s="152"/>
      <c r="F195" s="152"/>
      <c r="G195" s="152"/>
      <c r="H195" s="152"/>
      <c r="I195" s="765" t="s">
        <v>386</v>
      </c>
      <c r="J195" s="766"/>
      <c r="K195" s="572">
        <v>0</v>
      </c>
      <c r="L195" s="260"/>
      <c r="M195" s="279"/>
      <c r="N195" s="280"/>
      <c r="O195" s="1"/>
    </row>
    <row r="196" spans="2:15" ht="15" customHeight="1" outlineLevel="5" x14ac:dyDescent="0.2">
      <c r="B196" s="758"/>
      <c r="D196" s="259"/>
      <c r="E196" s="152"/>
      <c r="F196" s="152"/>
      <c r="G196" s="152"/>
      <c r="H196" s="152"/>
      <c r="I196" s="765" t="s">
        <v>387</v>
      </c>
      <c r="J196" s="766"/>
      <c r="K196" s="572">
        <v>0</v>
      </c>
      <c r="L196" s="260"/>
      <c r="M196" s="279"/>
      <c r="N196" s="280"/>
      <c r="O196" s="1"/>
    </row>
    <row r="197" spans="2:15" ht="15" customHeight="1" outlineLevel="5" x14ac:dyDescent="0.2">
      <c r="B197" s="758"/>
      <c r="D197" s="259"/>
      <c r="E197" s="152"/>
      <c r="F197" s="152"/>
      <c r="G197" s="152"/>
      <c r="H197" s="152"/>
      <c r="I197" s="765" t="s">
        <v>388</v>
      </c>
      <c r="J197" s="766"/>
      <c r="K197" s="572">
        <v>0</v>
      </c>
      <c r="L197" s="260"/>
      <c r="M197" s="279"/>
      <c r="N197" s="280"/>
      <c r="O197" s="1"/>
    </row>
    <row r="198" spans="2:15" ht="15" customHeight="1" outlineLevel="4" x14ac:dyDescent="0.2">
      <c r="B198" s="758"/>
      <c r="D198" s="259"/>
      <c r="E198" s="152"/>
      <c r="F198" s="152"/>
      <c r="G198" s="152"/>
      <c r="H198" s="768" t="s">
        <v>389</v>
      </c>
      <c r="I198" s="768"/>
      <c r="J198" s="769"/>
      <c r="K198" s="260">
        <f>SUM(K199:K204)</f>
        <v>0</v>
      </c>
      <c r="L198" s="278" t="s">
        <v>724</v>
      </c>
      <c r="M198" s="279"/>
      <c r="N198" s="280"/>
      <c r="O198" s="1"/>
    </row>
    <row r="199" spans="2:15" ht="15" customHeight="1" outlineLevel="5" x14ac:dyDescent="0.2">
      <c r="B199" s="758"/>
      <c r="D199" s="259"/>
      <c r="E199" s="152"/>
      <c r="F199" s="152"/>
      <c r="G199" s="152"/>
      <c r="H199" s="152"/>
      <c r="I199" s="765" t="s">
        <v>390</v>
      </c>
      <c r="J199" s="766"/>
      <c r="K199" s="572">
        <v>0</v>
      </c>
      <c r="L199" s="260"/>
      <c r="M199" s="279"/>
      <c r="N199" s="280"/>
      <c r="O199" s="1"/>
    </row>
    <row r="200" spans="2:15" ht="15" customHeight="1" outlineLevel="5" x14ac:dyDescent="0.2">
      <c r="B200" s="758"/>
      <c r="D200" s="259"/>
      <c r="E200" s="152"/>
      <c r="F200" s="152"/>
      <c r="G200" s="152"/>
      <c r="H200" s="152"/>
      <c r="I200" s="765" t="s">
        <v>391</v>
      </c>
      <c r="J200" s="766"/>
      <c r="K200" s="572">
        <v>0</v>
      </c>
      <c r="L200" s="260"/>
      <c r="M200" s="279"/>
      <c r="N200" s="280"/>
      <c r="O200" s="1"/>
    </row>
    <row r="201" spans="2:15" ht="15" customHeight="1" outlineLevel="5" x14ac:dyDescent="0.2">
      <c r="B201" s="758"/>
      <c r="D201" s="259"/>
      <c r="E201" s="152"/>
      <c r="F201" s="152"/>
      <c r="G201" s="152"/>
      <c r="H201" s="152"/>
      <c r="I201" s="765" t="s">
        <v>392</v>
      </c>
      <c r="J201" s="766"/>
      <c r="K201" s="572">
        <v>0</v>
      </c>
      <c r="L201" s="260"/>
      <c r="M201" s="279"/>
      <c r="N201" s="280"/>
      <c r="O201" s="1"/>
    </row>
    <row r="202" spans="2:15" ht="15" customHeight="1" outlineLevel="5" x14ac:dyDescent="0.2">
      <c r="B202" s="758"/>
      <c r="D202" s="259"/>
      <c r="E202" s="152"/>
      <c r="F202" s="152"/>
      <c r="G202" s="152"/>
      <c r="H202" s="152"/>
      <c r="I202" s="765" t="s">
        <v>393</v>
      </c>
      <c r="J202" s="766"/>
      <c r="K202" s="572">
        <v>0</v>
      </c>
      <c r="L202" s="260"/>
      <c r="M202" s="279"/>
      <c r="N202" s="280"/>
      <c r="O202" s="1"/>
    </row>
    <row r="203" spans="2:15" ht="15" customHeight="1" outlineLevel="5" x14ac:dyDescent="0.2">
      <c r="B203" s="758"/>
      <c r="D203" s="259"/>
      <c r="E203" s="152"/>
      <c r="F203" s="152"/>
      <c r="G203" s="152"/>
      <c r="H203" s="152"/>
      <c r="I203" s="765" t="s">
        <v>394</v>
      </c>
      <c r="J203" s="766"/>
      <c r="K203" s="572">
        <v>0</v>
      </c>
      <c r="L203" s="260"/>
      <c r="M203" s="279"/>
      <c r="N203" s="280"/>
      <c r="O203" s="1"/>
    </row>
    <row r="204" spans="2:15" ht="15" customHeight="1" outlineLevel="5" x14ac:dyDescent="0.2">
      <c r="B204" s="758"/>
      <c r="D204" s="259"/>
      <c r="E204" s="152"/>
      <c r="F204" s="152"/>
      <c r="G204" s="152"/>
      <c r="H204" s="152"/>
      <c r="I204" s="765" t="s">
        <v>395</v>
      </c>
      <c r="J204" s="766"/>
      <c r="K204" s="572">
        <v>0</v>
      </c>
      <c r="L204" s="260"/>
      <c r="M204" s="279"/>
      <c r="N204" s="280"/>
      <c r="O204" s="1"/>
    </row>
    <row r="205" spans="2:15" ht="15" customHeight="1" outlineLevel="4" x14ac:dyDescent="0.2">
      <c r="B205" s="758"/>
      <c r="D205" s="259"/>
      <c r="E205" s="152"/>
      <c r="F205" s="152"/>
      <c r="G205" s="152"/>
      <c r="H205" s="768" t="s">
        <v>396</v>
      </c>
      <c r="I205" s="768"/>
      <c r="J205" s="769"/>
      <c r="K205" s="260">
        <f>SUM(K206:K215)</f>
        <v>0</v>
      </c>
      <c r="L205" s="278" t="s">
        <v>725</v>
      </c>
      <c r="M205" s="279"/>
      <c r="N205" s="280"/>
      <c r="O205" s="1"/>
    </row>
    <row r="206" spans="2:15" ht="15" customHeight="1" outlineLevel="5" x14ac:dyDescent="0.2">
      <c r="B206" s="758"/>
      <c r="D206" s="259"/>
      <c r="E206" s="152"/>
      <c r="F206" s="152"/>
      <c r="G206" s="152"/>
      <c r="H206" s="152"/>
      <c r="I206" s="765" t="s">
        <v>397</v>
      </c>
      <c r="J206" s="766"/>
      <c r="K206" s="572">
        <v>0</v>
      </c>
      <c r="L206" s="260"/>
      <c r="M206" s="279"/>
      <c r="N206" s="280"/>
      <c r="O206" s="1"/>
    </row>
    <row r="207" spans="2:15" ht="15" customHeight="1" outlineLevel="5" x14ac:dyDescent="0.2">
      <c r="B207" s="758"/>
      <c r="D207" s="259"/>
      <c r="E207" s="152"/>
      <c r="F207" s="152"/>
      <c r="G207" s="152"/>
      <c r="H207" s="152"/>
      <c r="I207" s="765" t="s">
        <v>398</v>
      </c>
      <c r="J207" s="766"/>
      <c r="K207" s="572">
        <v>0</v>
      </c>
      <c r="L207" s="260"/>
      <c r="M207" s="279"/>
      <c r="N207" s="280"/>
      <c r="O207" s="1"/>
    </row>
    <row r="208" spans="2:15" ht="15" customHeight="1" outlineLevel="5" x14ac:dyDescent="0.2">
      <c r="B208" s="758"/>
      <c r="D208" s="259"/>
      <c r="E208" s="152"/>
      <c r="F208" s="152"/>
      <c r="G208" s="152"/>
      <c r="H208" s="152"/>
      <c r="I208" s="765" t="s">
        <v>399</v>
      </c>
      <c r="J208" s="766"/>
      <c r="K208" s="572">
        <v>0</v>
      </c>
      <c r="L208" s="260"/>
      <c r="M208" s="279"/>
      <c r="N208" s="280"/>
      <c r="O208" s="1"/>
    </row>
    <row r="209" spans="2:15" ht="15" customHeight="1" outlineLevel="5" x14ac:dyDescent="0.2">
      <c r="B209" s="758"/>
      <c r="D209" s="259"/>
      <c r="E209" s="152"/>
      <c r="F209" s="152"/>
      <c r="G209" s="152"/>
      <c r="H209" s="152"/>
      <c r="I209" s="765" t="s">
        <v>400</v>
      </c>
      <c r="J209" s="766"/>
      <c r="K209" s="572">
        <v>0</v>
      </c>
      <c r="L209" s="260"/>
      <c r="M209" s="279"/>
      <c r="N209" s="280"/>
      <c r="O209" s="1"/>
    </row>
    <row r="210" spans="2:15" ht="15" customHeight="1" outlineLevel="5" x14ac:dyDescent="0.2">
      <c r="B210" s="758"/>
      <c r="D210" s="259"/>
      <c r="E210" s="152"/>
      <c r="F210" s="152"/>
      <c r="G210" s="152"/>
      <c r="H210" s="152"/>
      <c r="I210" s="765" t="s">
        <v>401</v>
      </c>
      <c r="J210" s="766"/>
      <c r="K210" s="572">
        <v>0</v>
      </c>
      <c r="L210" s="260"/>
      <c r="M210" s="279"/>
      <c r="N210" s="280"/>
      <c r="O210" s="1"/>
    </row>
    <row r="211" spans="2:15" ht="15" customHeight="1" outlineLevel="5" x14ac:dyDescent="0.2">
      <c r="B211" s="758"/>
      <c r="D211" s="259"/>
      <c r="E211" s="152"/>
      <c r="F211" s="152"/>
      <c r="G211" s="152"/>
      <c r="H211" s="152"/>
      <c r="I211" s="765" t="s">
        <v>402</v>
      </c>
      <c r="J211" s="766"/>
      <c r="K211" s="572">
        <v>0</v>
      </c>
      <c r="L211" s="260"/>
      <c r="M211" s="279"/>
      <c r="N211" s="280"/>
      <c r="O211" s="1"/>
    </row>
    <row r="212" spans="2:15" ht="15" customHeight="1" outlineLevel="5" x14ac:dyDescent="0.2">
      <c r="B212" s="758"/>
      <c r="D212" s="259"/>
      <c r="E212" s="152"/>
      <c r="F212" s="152"/>
      <c r="G212" s="152"/>
      <c r="H212" s="152"/>
      <c r="I212" s="765" t="s">
        <v>403</v>
      </c>
      <c r="J212" s="766"/>
      <c r="K212" s="572">
        <v>0</v>
      </c>
      <c r="L212" s="260"/>
      <c r="M212" s="279"/>
      <c r="N212" s="280"/>
      <c r="O212" s="1"/>
    </row>
    <row r="213" spans="2:15" ht="15" customHeight="1" outlineLevel="5" x14ac:dyDescent="0.2">
      <c r="B213" s="758"/>
      <c r="D213" s="259"/>
      <c r="E213" s="152"/>
      <c r="F213" s="152"/>
      <c r="G213" s="152"/>
      <c r="H213" s="152"/>
      <c r="I213" s="765" t="s">
        <v>404</v>
      </c>
      <c r="J213" s="766"/>
      <c r="K213" s="572">
        <v>0</v>
      </c>
      <c r="L213" s="260"/>
      <c r="M213" s="279"/>
      <c r="N213" s="280"/>
      <c r="O213" s="1"/>
    </row>
    <row r="214" spans="2:15" ht="15" customHeight="1" outlineLevel="5" x14ac:dyDescent="0.2">
      <c r="B214" s="758"/>
      <c r="D214" s="259"/>
      <c r="E214" s="152"/>
      <c r="F214" s="152"/>
      <c r="G214" s="152"/>
      <c r="H214" s="152"/>
      <c r="I214" s="765" t="s">
        <v>405</v>
      </c>
      <c r="J214" s="766"/>
      <c r="K214" s="572">
        <v>0</v>
      </c>
      <c r="L214" s="260"/>
      <c r="M214" s="279"/>
      <c r="N214" s="280"/>
      <c r="O214" s="1"/>
    </row>
    <row r="215" spans="2:15" ht="15" customHeight="1" outlineLevel="5" x14ac:dyDescent="0.2">
      <c r="B215" s="758"/>
      <c r="D215" s="259"/>
      <c r="E215" s="152"/>
      <c r="F215" s="152"/>
      <c r="G215" s="152"/>
      <c r="H215" s="152"/>
      <c r="I215" s="765" t="s">
        <v>406</v>
      </c>
      <c r="J215" s="766"/>
      <c r="K215" s="572">
        <v>0</v>
      </c>
      <c r="L215" s="260"/>
      <c r="M215" s="279"/>
      <c r="N215" s="280"/>
      <c r="O215" s="1"/>
    </row>
    <row r="216" spans="2:15" ht="15" customHeight="1" outlineLevel="4" x14ac:dyDescent="0.2">
      <c r="B216" s="758"/>
      <c r="D216" s="259"/>
      <c r="E216" s="152"/>
      <c r="F216" s="152"/>
      <c r="G216" s="152"/>
      <c r="H216" s="768" t="s">
        <v>407</v>
      </c>
      <c r="I216" s="768"/>
      <c r="J216" s="769"/>
      <c r="K216" s="260">
        <f>SUM(K217:K227)</f>
        <v>0</v>
      </c>
      <c r="L216" s="278" t="s">
        <v>726</v>
      </c>
      <c r="M216" s="279"/>
      <c r="N216" s="280"/>
      <c r="O216" s="1"/>
    </row>
    <row r="217" spans="2:15" ht="15" customHeight="1" outlineLevel="5" x14ac:dyDescent="0.2">
      <c r="B217" s="758"/>
      <c r="D217" s="259"/>
      <c r="E217" s="152"/>
      <c r="F217" s="152"/>
      <c r="G217" s="152"/>
      <c r="H217" s="152"/>
      <c r="I217" s="765" t="s">
        <v>408</v>
      </c>
      <c r="J217" s="766"/>
      <c r="K217" s="572">
        <v>0</v>
      </c>
      <c r="L217" s="260"/>
      <c r="M217" s="279"/>
      <c r="N217" s="280"/>
      <c r="O217" s="1"/>
    </row>
    <row r="218" spans="2:15" ht="15" customHeight="1" outlineLevel="5" x14ac:dyDescent="0.2">
      <c r="B218" s="758"/>
      <c r="D218" s="259"/>
      <c r="E218" s="152"/>
      <c r="F218" s="152"/>
      <c r="G218" s="152"/>
      <c r="H218" s="152"/>
      <c r="I218" s="765" t="s">
        <v>409</v>
      </c>
      <c r="J218" s="766"/>
      <c r="K218" s="572">
        <v>0</v>
      </c>
      <c r="L218" s="260"/>
      <c r="M218" s="279"/>
      <c r="N218" s="280"/>
      <c r="O218" s="1"/>
    </row>
    <row r="219" spans="2:15" ht="15" customHeight="1" outlineLevel="5" x14ac:dyDescent="0.2">
      <c r="B219" s="758"/>
      <c r="D219" s="259"/>
      <c r="E219" s="152"/>
      <c r="F219" s="152"/>
      <c r="G219" s="152"/>
      <c r="H219" s="152"/>
      <c r="I219" s="765" t="s">
        <v>410</v>
      </c>
      <c r="J219" s="766"/>
      <c r="K219" s="572">
        <v>0</v>
      </c>
      <c r="L219" s="260"/>
      <c r="M219" s="279"/>
      <c r="N219" s="280"/>
      <c r="O219" s="1"/>
    </row>
    <row r="220" spans="2:15" ht="15" customHeight="1" outlineLevel="5" x14ac:dyDescent="0.2">
      <c r="B220" s="758"/>
      <c r="D220" s="259"/>
      <c r="E220" s="152"/>
      <c r="F220" s="152"/>
      <c r="G220" s="152"/>
      <c r="H220" s="152"/>
      <c r="I220" s="765" t="s">
        <v>411</v>
      </c>
      <c r="J220" s="766"/>
      <c r="K220" s="572">
        <v>0</v>
      </c>
      <c r="L220" s="260"/>
      <c r="M220" s="279"/>
      <c r="N220" s="280"/>
      <c r="O220" s="1"/>
    </row>
    <row r="221" spans="2:15" ht="15" customHeight="1" outlineLevel="5" x14ac:dyDescent="0.2">
      <c r="B221" s="758"/>
      <c r="D221" s="259"/>
      <c r="E221" s="152"/>
      <c r="F221" s="152"/>
      <c r="G221" s="152"/>
      <c r="H221" s="152"/>
      <c r="I221" s="765" t="s">
        <v>412</v>
      </c>
      <c r="J221" s="766"/>
      <c r="K221" s="572">
        <v>0</v>
      </c>
      <c r="L221" s="260"/>
      <c r="M221" s="279"/>
      <c r="N221" s="280"/>
      <c r="O221" s="1"/>
    </row>
    <row r="222" spans="2:15" ht="15" customHeight="1" outlineLevel="5" x14ac:dyDescent="0.2">
      <c r="B222" s="758"/>
      <c r="D222" s="259"/>
      <c r="E222" s="152"/>
      <c r="F222" s="152"/>
      <c r="G222" s="152"/>
      <c r="H222" s="152"/>
      <c r="I222" s="765" t="s">
        <v>413</v>
      </c>
      <c r="J222" s="766"/>
      <c r="K222" s="572">
        <v>0</v>
      </c>
      <c r="L222" s="260"/>
      <c r="M222" s="279"/>
      <c r="N222" s="280"/>
      <c r="O222" s="1"/>
    </row>
    <row r="223" spans="2:15" ht="15" customHeight="1" outlineLevel="5" x14ac:dyDescent="0.2">
      <c r="B223" s="758"/>
      <c r="D223" s="259"/>
      <c r="E223" s="152"/>
      <c r="F223" s="152"/>
      <c r="G223" s="152"/>
      <c r="H223" s="152"/>
      <c r="I223" s="765" t="s">
        <v>414</v>
      </c>
      <c r="J223" s="766"/>
      <c r="K223" s="572">
        <v>0</v>
      </c>
      <c r="L223" s="260"/>
      <c r="M223" s="279"/>
      <c r="N223" s="280"/>
      <c r="O223" s="1"/>
    </row>
    <row r="224" spans="2:15" ht="15" customHeight="1" outlineLevel="5" x14ac:dyDescent="0.2">
      <c r="B224" s="758"/>
      <c r="D224" s="259"/>
      <c r="E224" s="152"/>
      <c r="F224" s="152"/>
      <c r="G224" s="152"/>
      <c r="H224" s="152"/>
      <c r="I224" s="765" t="s">
        <v>415</v>
      </c>
      <c r="J224" s="766"/>
      <c r="K224" s="572">
        <v>0</v>
      </c>
      <c r="L224" s="260"/>
      <c r="M224" s="279"/>
      <c r="N224" s="280"/>
      <c r="O224" s="1"/>
    </row>
    <row r="225" spans="2:15" ht="15" customHeight="1" outlineLevel="5" x14ac:dyDescent="0.2">
      <c r="B225" s="758"/>
      <c r="D225" s="259"/>
      <c r="E225" s="152"/>
      <c r="F225" s="152"/>
      <c r="G225" s="152"/>
      <c r="H225" s="152"/>
      <c r="I225" s="765" t="s">
        <v>416</v>
      </c>
      <c r="J225" s="766"/>
      <c r="K225" s="572">
        <v>0</v>
      </c>
      <c r="L225" s="260"/>
      <c r="M225" s="279"/>
      <c r="N225" s="280"/>
      <c r="O225" s="1"/>
    </row>
    <row r="226" spans="2:15" ht="15" customHeight="1" outlineLevel="5" x14ac:dyDescent="0.2">
      <c r="B226" s="758"/>
      <c r="D226" s="259"/>
      <c r="E226" s="152"/>
      <c r="F226" s="152"/>
      <c r="G226" s="152"/>
      <c r="H226" s="152"/>
      <c r="I226" s="765" t="s">
        <v>417</v>
      </c>
      <c r="J226" s="766"/>
      <c r="K226" s="572">
        <v>0</v>
      </c>
      <c r="L226" s="260"/>
      <c r="M226" s="279"/>
      <c r="N226" s="280"/>
      <c r="O226" s="1"/>
    </row>
    <row r="227" spans="2:15" ht="15" customHeight="1" outlineLevel="5" x14ac:dyDescent="0.2">
      <c r="B227" s="758"/>
      <c r="D227" s="259"/>
      <c r="E227" s="152"/>
      <c r="F227" s="152"/>
      <c r="G227" s="152"/>
      <c r="H227" s="152"/>
      <c r="I227" s="765" t="s">
        <v>418</v>
      </c>
      <c r="J227" s="766"/>
      <c r="K227" s="572">
        <v>0</v>
      </c>
      <c r="L227" s="260"/>
      <c r="M227" s="279"/>
      <c r="N227" s="280"/>
      <c r="O227" s="1"/>
    </row>
    <row r="228" spans="2:15" outlineLevel="3" x14ac:dyDescent="0.2">
      <c r="B228" s="758"/>
      <c r="D228" s="259"/>
      <c r="E228" s="152"/>
      <c r="F228" s="152"/>
      <c r="G228" s="768" t="s">
        <v>419</v>
      </c>
      <c r="H228" s="768"/>
      <c r="I228" s="768"/>
      <c r="J228" s="769"/>
      <c r="K228" s="260">
        <f>SUM(K229,K230,K233,K234,K242,K247,K248)</f>
        <v>0</v>
      </c>
      <c r="L228" s="278" t="s">
        <v>727</v>
      </c>
      <c r="M228" s="279"/>
      <c r="N228" s="280"/>
      <c r="O228" s="1"/>
    </row>
    <row r="229" spans="2:15" ht="15" customHeight="1" outlineLevel="4" x14ac:dyDescent="0.2">
      <c r="B229" s="758"/>
      <c r="D229" s="259"/>
      <c r="E229" s="152"/>
      <c r="F229" s="152"/>
      <c r="G229" s="152"/>
      <c r="H229" s="765" t="s">
        <v>420</v>
      </c>
      <c r="I229" s="765"/>
      <c r="J229" s="766"/>
      <c r="K229" s="572">
        <v>0</v>
      </c>
      <c r="L229" s="260"/>
      <c r="M229" s="279"/>
      <c r="N229" s="280"/>
      <c r="O229" s="1"/>
    </row>
    <row r="230" spans="2:15" ht="15" customHeight="1" outlineLevel="4" x14ac:dyDescent="0.2">
      <c r="B230" s="758"/>
      <c r="D230" s="259"/>
      <c r="E230" s="152"/>
      <c r="F230" s="152"/>
      <c r="G230" s="152"/>
      <c r="H230" s="765" t="s">
        <v>421</v>
      </c>
      <c r="I230" s="765"/>
      <c r="J230" s="766"/>
      <c r="K230" s="260">
        <f>SUM(K231:K232)</f>
        <v>0</v>
      </c>
      <c r="L230" s="278" t="s">
        <v>728</v>
      </c>
      <c r="M230" s="279"/>
      <c r="N230" s="280"/>
      <c r="O230" s="1"/>
    </row>
    <row r="231" spans="2:15" ht="15" customHeight="1" outlineLevel="5" x14ac:dyDescent="0.2">
      <c r="B231" s="758"/>
      <c r="D231" s="259"/>
      <c r="E231" s="152"/>
      <c r="F231" s="152"/>
      <c r="G231" s="152"/>
      <c r="H231" s="152"/>
      <c r="I231" s="765" t="s">
        <v>422</v>
      </c>
      <c r="J231" s="766"/>
      <c r="K231" s="572">
        <v>0</v>
      </c>
      <c r="L231" s="260"/>
      <c r="M231" s="279"/>
      <c r="N231" s="280"/>
      <c r="O231" s="1"/>
    </row>
    <row r="232" spans="2:15" ht="15" customHeight="1" outlineLevel="5" x14ac:dyDescent="0.2">
      <c r="B232" s="758"/>
      <c r="D232" s="259"/>
      <c r="E232" s="152"/>
      <c r="F232" s="152"/>
      <c r="G232" s="152"/>
      <c r="H232" s="152"/>
      <c r="I232" s="765" t="s">
        <v>423</v>
      </c>
      <c r="J232" s="766"/>
      <c r="K232" s="572">
        <v>0</v>
      </c>
      <c r="L232" s="260"/>
      <c r="M232" s="279"/>
      <c r="N232" s="280"/>
      <c r="O232" s="1"/>
    </row>
    <row r="233" spans="2:15" ht="15" customHeight="1" outlineLevel="4" x14ac:dyDescent="0.2">
      <c r="B233" s="758"/>
      <c r="D233" s="259"/>
      <c r="E233" s="152"/>
      <c r="F233" s="152"/>
      <c r="G233" s="152"/>
      <c r="H233" s="768" t="s">
        <v>424</v>
      </c>
      <c r="I233" s="768"/>
      <c r="J233" s="769"/>
      <c r="K233" s="572">
        <v>0</v>
      </c>
      <c r="L233" s="260"/>
      <c r="M233" s="279"/>
      <c r="N233" s="280"/>
      <c r="O233" s="1"/>
    </row>
    <row r="234" spans="2:15" ht="15" customHeight="1" outlineLevel="4" x14ac:dyDescent="0.2">
      <c r="B234" s="758"/>
      <c r="D234" s="259"/>
      <c r="E234" s="152"/>
      <c r="F234" s="152"/>
      <c r="G234" s="152"/>
      <c r="H234" s="765" t="s">
        <v>425</v>
      </c>
      <c r="I234" s="765"/>
      <c r="J234" s="766"/>
      <c r="K234" s="260">
        <f>SUM(K235:K241)</f>
        <v>0</v>
      </c>
      <c r="L234" s="278" t="s">
        <v>729</v>
      </c>
      <c r="M234" s="279"/>
      <c r="N234" s="280"/>
      <c r="O234" s="1"/>
    </row>
    <row r="235" spans="2:15" ht="15" customHeight="1" outlineLevel="5" x14ac:dyDescent="0.2">
      <c r="B235" s="758"/>
      <c r="D235" s="259"/>
      <c r="E235" s="152"/>
      <c r="F235" s="152"/>
      <c r="G235" s="152"/>
      <c r="H235" s="152"/>
      <c r="I235" s="765" t="s">
        <v>426</v>
      </c>
      <c r="J235" s="766"/>
      <c r="K235" s="572">
        <v>0</v>
      </c>
      <c r="L235" s="260"/>
      <c r="M235" s="279"/>
      <c r="N235" s="280"/>
      <c r="O235" s="1"/>
    </row>
    <row r="236" spans="2:15" ht="15" customHeight="1" outlineLevel="5" x14ac:dyDescent="0.2">
      <c r="B236" s="758"/>
      <c r="D236" s="259"/>
      <c r="E236" s="152"/>
      <c r="F236" s="152"/>
      <c r="G236" s="152"/>
      <c r="H236" s="152"/>
      <c r="I236" s="765" t="s">
        <v>427</v>
      </c>
      <c r="J236" s="766"/>
      <c r="K236" s="572">
        <v>0</v>
      </c>
      <c r="L236" s="260"/>
      <c r="M236" s="279"/>
      <c r="N236" s="280"/>
      <c r="O236" s="1"/>
    </row>
    <row r="237" spans="2:15" ht="15" customHeight="1" outlineLevel="5" x14ac:dyDescent="0.2">
      <c r="B237" s="758"/>
      <c r="D237" s="259"/>
      <c r="E237" s="152"/>
      <c r="F237" s="152"/>
      <c r="G237" s="152"/>
      <c r="H237" s="152"/>
      <c r="I237" s="765" t="s">
        <v>428</v>
      </c>
      <c r="J237" s="766"/>
      <c r="K237" s="572">
        <v>0</v>
      </c>
      <c r="L237" s="260"/>
      <c r="M237" s="279"/>
      <c r="N237" s="280"/>
      <c r="O237" s="1"/>
    </row>
    <row r="238" spans="2:15" ht="15" customHeight="1" outlineLevel="5" x14ac:dyDescent="0.2">
      <c r="B238" s="758"/>
      <c r="D238" s="259"/>
      <c r="E238" s="152"/>
      <c r="F238" s="152"/>
      <c r="G238" s="152"/>
      <c r="H238" s="152"/>
      <c r="I238" s="765" t="s">
        <v>429</v>
      </c>
      <c r="J238" s="766"/>
      <c r="K238" s="572">
        <v>0</v>
      </c>
      <c r="L238" s="260"/>
      <c r="M238" s="279"/>
      <c r="N238" s="280"/>
      <c r="O238" s="1"/>
    </row>
    <row r="239" spans="2:15" ht="15" customHeight="1" outlineLevel="5" x14ac:dyDescent="0.2">
      <c r="B239" s="758"/>
      <c r="D239" s="259"/>
      <c r="E239" s="152"/>
      <c r="F239" s="152"/>
      <c r="G239" s="152"/>
      <c r="H239" s="152"/>
      <c r="I239" s="765" t="s">
        <v>430</v>
      </c>
      <c r="J239" s="766"/>
      <c r="K239" s="572">
        <v>0</v>
      </c>
      <c r="L239" s="260"/>
      <c r="M239" s="279"/>
      <c r="N239" s="280"/>
      <c r="O239" s="1"/>
    </row>
    <row r="240" spans="2:15" ht="15" customHeight="1" outlineLevel="5" x14ac:dyDescent="0.2">
      <c r="B240" s="758"/>
      <c r="D240" s="259"/>
      <c r="E240" s="152"/>
      <c r="F240" s="152"/>
      <c r="G240" s="152"/>
      <c r="H240" s="152"/>
      <c r="I240" s="765" t="s">
        <v>431</v>
      </c>
      <c r="J240" s="766"/>
      <c r="K240" s="572">
        <v>0</v>
      </c>
      <c r="L240" s="260"/>
      <c r="M240" s="279"/>
      <c r="N240" s="280"/>
      <c r="O240" s="1"/>
    </row>
    <row r="241" spans="2:15" ht="15" customHeight="1" outlineLevel="5" x14ac:dyDescent="0.2">
      <c r="B241" s="758"/>
      <c r="D241" s="259"/>
      <c r="E241" s="152"/>
      <c r="F241" s="152"/>
      <c r="G241" s="152"/>
      <c r="H241" s="152"/>
      <c r="I241" s="765" t="s">
        <v>432</v>
      </c>
      <c r="J241" s="766"/>
      <c r="K241" s="572">
        <v>0</v>
      </c>
      <c r="L241" s="260"/>
      <c r="M241" s="279"/>
      <c r="N241" s="280"/>
      <c r="O241" s="1"/>
    </row>
    <row r="242" spans="2:15" ht="15" customHeight="1" outlineLevel="4" x14ac:dyDescent="0.2">
      <c r="B242" s="758"/>
      <c r="D242" s="259"/>
      <c r="E242" s="152"/>
      <c r="F242" s="152"/>
      <c r="G242" s="152"/>
      <c r="H242" s="768" t="s">
        <v>433</v>
      </c>
      <c r="I242" s="768"/>
      <c r="J242" s="769"/>
      <c r="K242" s="260">
        <f>SUM(K243:K246)</f>
        <v>0</v>
      </c>
      <c r="L242" s="278" t="s">
        <v>730</v>
      </c>
      <c r="M242" s="279"/>
      <c r="N242" s="280"/>
      <c r="O242" s="1"/>
    </row>
    <row r="243" spans="2:15" ht="15" customHeight="1" outlineLevel="5" x14ac:dyDescent="0.2">
      <c r="B243" s="758"/>
      <c r="D243" s="259"/>
      <c r="E243" s="152"/>
      <c r="F243" s="152"/>
      <c r="G243" s="152"/>
      <c r="H243" s="152"/>
      <c r="I243" s="765" t="s">
        <v>434</v>
      </c>
      <c r="J243" s="766"/>
      <c r="K243" s="572">
        <v>0</v>
      </c>
      <c r="L243" s="260"/>
      <c r="M243" s="279"/>
      <c r="N243" s="280"/>
      <c r="O243" s="1"/>
    </row>
    <row r="244" spans="2:15" ht="15" customHeight="1" outlineLevel="5" x14ac:dyDescent="0.2">
      <c r="B244" s="758"/>
      <c r="D244" s="259"/>
      <c r="E244" s="152"/>
      <c r="F244" s="152"/>
      <c r="G244" s="152"/>
      <c r="H244" s="152"/>
      <c r="I244" s="765" t="s">
        <v>435</v>
      </c>
      <c r="J244" s="766"/>
      <c r="K244" s="572">
        <v>0</v>
      </c>
      <c r="L244" s="260"/>
      <c r="M244" s="279"/>
      <c r="N244" s="280"/>
      <c r="O244" s="1"/>
    </row>
    <row r="245" spans="2:15" ht="15" customHeight="1" outlineLevel="5" x14ac:dyDescent="0.2">
      <c r="B245" s="758"/>
      <c r="D245" s="259"/>
      <c r="E245" s="152"/>
      <c r="F245" s="152"/>
      <c r="G245" s="152"/>
      <c r="H245" s="152"/>
      <c r="I245" s="765" t="s">
        <v>436</v>
      </c>
      <c r="J245" s="766"/>
      <c r="K245" s="572">
        <v>0</v>
      </c>
      <c r="L245" s="260"/>
      <c r="M245" s="279"/>
      <c r="N245" s="280"/>
      <c r="O245" s="1"/>
    </row>
    <row r="246" spans="2:15" ht="15" customHeight="1" outlineLevel="5" x14ac:dyDescent="0.2">
      <c r="B246" s="758"/>
      <c r="D246" s="259"/>
      <c r="E246" s="152"/>
      <c r="F246" s="152"/>
      <c r="G246" s="152"/>
      <c r="H246" s="152"/>
      <c r="I246" s="765" t="s">
        <v>437</v>
      </c>
      <c r="J246" s="766"/>
      <c r="K246" s="572">
        <v>0</v>
      </c>
      <c r="L246" s="260"/>
      <c r="M246" s="279"/>
      <c r="N246" s="280"/>
      <c r="O246" s="1"/>
    </row>
    <row r="247" spans="2:15" ht="15" customHeight="1" outlineLevel="4" x14ac:dyDescent="0.2">
      <c r="B247" s="758"/>
      <c r="D247" s="259"/>
      <c r="E247" s="152"/>
      <c r="F247" s="152"/>
      <c r="G247" s="152"/>
      <c r="H247" s="768" t="s">
        <v>438</v>
      </c>
      <c r="I247" s="768"/>
      <c r="J247" s="769"/>
      <c r="K247" s="572">
        <v>0</v>
      </c>
      <c r="L247" s="260"/>
      <c r="M247" s="279"/>
      <c r="N247" s="280"/>
      <c r="O247" s="1"/>
    </row>
    <row r="248" spans="2:15" ht="15" customHeight="1" outlineLevel="4" x14ac:dyDescent="0.2">
      <c r="B248" s="758"/>
      <c r="D248" s="259"/>
      <c r="E248" s="152"/>
      <c r="F248" s="152"/>
      <c r="G248" s="152"/>
      <c r="H248" s="765" t="s">
        <v>439</v>
      </c>
      <c r="I248" s="765"/>
      <c r="J248" s="766"/>
      <c r="K248" s="572">
        <v>0</v>
      </c>
      <c r="L248" s="260"/>
      <c r="M248" s="279"/>
      <c r="N248" s="280"/>
      <c r="O248" s="1"/>
    </row>
    <row r="249" spans="2:15" ht="15" customHeight="1" outlineLevel="3" x14ac:dyDescent="0.2">
      <c r="B249" s="758"/>
      <c r="D249" s="259"/>
      <c r="E249" s="152"/>
      <c r="F249" s="152"/>
      <c r="G249" s="768" t="s">
        <v>440</v>
      </c>
      <c r="H249" s="768"/>
      <c r="I249" s="768"/>
      <c r="J249" s="769"/>
      <c r="K249" s="260">
        <f>SUM(K250:K253,K257)</f>
        <v>0</v>
      </c>
      <c r="L249" s="278" t="s">
        <v>731</v>
      </c>
      <c r="M249" s="279"/>
      <c r="N249" s="280"/>
      <c r="O249" s="1"/>
    </row>
    <row r="250" spans="2:15" ht="15" customHeight="1" outlineLevel="4" x14ac:dyDescent="0.2">
      <c r="B250" s="758"/>
      <c r="D250" s="259"/>
      <c r="E250" s="152"/>
      <c r="F250" s="152"/>
      <c r="G250" s="152"/>
      <c r="H250" s="765" t="s">
        <v>441</v>
      </c>
      <c r="I250" s="765"/>
      <c r="J250" s="766"/>
      <c r="K250" s="572">
        <v>0</v>
      </c>
      <c r="L250" s="260"/>
      <c r="M250" s="279"/>
      <c r="N250" s="280"/>
      <c r="O250" s="1"/>
    </row>
    <row r="251" spans="2:15" ht="15" customHeight="1" outlineLevel="4" x14ac:dyDescent="0.2">
      <c r="B251" s="758"/>
      <c r="D251" s="259"/>
      <c r="E251" s="152"/>
      <c r="F251" s="152"/>
      <c r="G251" s="152"/>
      <c r="H251" s="765" t="s">
        <v>442</v>
      </c>
      <c r="I251" s="765"/>
      <c r="J251" s="766"/>
      <c r="K251" s="572">
        <v>0</v>
      </c>
      <c r="L251" s="260"/>
      <c r="M251" s="279"/>
      <c r="N251" s="280"/>
      <c r="O251" s="1"/>
    </row>
    <row r="252" spans="2:15" ht="15" customHeight="1" outlineLevel="4" x14ac:dyDescent="0.2">
      <c r="B252" s="758"/>
      <c r="D252" s="259"/>
      <c r="E252" s="152"/>
      <c r="F252" s="152"/>
      <c r="G252" s="152"/>
      <c r="H252" s="765" t="s">
        <v>443</v>
      </c>
      <c r="I252" s="765"/>
      <c r="J252" s="766"/>
      <c r="K252" s="572">
        <v>0</v>
      </c>
      <c r="L252" s="260"/>
      <c r="M252" s="279"/>
      <c r="N252" s="280"/>
      <c r="O252" s="1"/>
    </row>
    <row r="253" spans="2:15" ht="15" customHeight="1" outlineLevel="4" x14ac:dyDescent="0.2">
      <c r="B253" s="758"/>
      <c r="D253" s="259"/>
      <c r="E253" s="152"/>
      <c r="F253" s="152"/>
      <c r="G253" s="152"/>
      <c r="H253" s="765" t="s">
        <v>444</v>
      </c>
      <c r="I253" s="765"/>
      <c r="J253" s="766"/>
      <c r="K253" s="260">
        <f>SUM(K254:K256)</f>
        <v>0</v>
      </c>
      <c r="L253" s="278" t="s">
        <v>732</v>
      </c>
      <c r="M253" s="279"/>
      <c r="N253" s="280"/>
      <c r="O253" s="1"/>
    </row>
    <row r="254" spans="2:15" ht="15" customHeight="1" outlineLevel="5" x14ac:dyDescent="0.2">
      <c r="B254" s="758"/>
      <c r="D254" s="259"/>
      <c r="E254" s="152"/>
      <c r="F254" s="152"/>
      <c r="G254" s="152"/>
      <c r="H254" s="152"/>
      <c r="I254" s="765" t="s">
        <v>445</v>
      </c>
      <c r="J254" s="766"/>
      <c r="K254" s="572">
        <v>0</v>
      </c>
      <c r="L254" s="260"/>
      <c r="M254" s="279"/>
      <c r="N254" s="280"/>
      <c r="O254" s="1"/>
    </row>
    <row r="255" spans="2:15" ht="15" customHeight="1" outlineLevel="5" x14ac:dyDescent="0.2">
      <c r="B255" s="758"/>
      <c r="D255" s="259"/>
      <c r="E255" s="152"/>
      <c r="F255" s="152"/>
      <c r="G255" s="152"/>
      <c r="H255" s="152"/>
      <c r="I255" s="765" t="s">
        <v>446</v>
      </c>
      <c r="J255" s="766"/>
      <c r="K255" s="572">
        <v>0</v>
      </c>
      <c r="L255" s="260"/>
      <c r="M255" s="279"/>
      <c r="N255" s="280"/>
      <c r="O255" s="1"/>
    </row>
    <row r="256" spans="2:15" ht="15" customHeight="1" outlineLevel="5" x14ac:dyDescent="0.2">
      <c r="B256" s="758"/>
      <c r="D256" s="259"/>
      <c r="E256" s="152"/>
      <c r="F256" s="152"/>
      <c r="G256" s="152"/>
      <c r="H256" s="152"/>
      <c r="I256" s="765" t="s">
        <v>447</v>
      </c>
      <c r="J256" s="766"/>
      <c r="K256" s="572">
        <v>0</v>
      </c>
      <c r="L256" s="260"/>
      <c r="M256" s="279"/>
      <c r="N256" s="280"/>
      <c r="O256" s="1"/>
    </row>
    <row r="257" spans="2:15" ht="15" customHeight="1" outlineLevel="4" x14ac:dyDescent="0.2">
      <c r="B257" s="758"/>
      <c r="D257" s="259"/>
      <c r="E257" s="152"/>
      <c r="F257" s="152"/>
      <c r="G257" s="152"/>
      <c r="H257" s="768" t="s">
        <v>448</v>
      </c>
      <c r="I257" s="768"/>
      <c r="J257" s="769"/>
      <c r="K257" s="572">
        <v>0</v>
      </c>
      <c r="L257" s="260"/>
      <c r="M257" s="279"/>
      <c r="N257" s="280"/>
      <c r="O257" s="1"/>
    </row>
    <row r="258" spans="2:15" s="89" customFormat="1" outlineLevel="2" x14ac:dyDescent="0.2">
      <c r="B258" s="758"/>
      <c r="D258" s="259"/>
      <c r="E258" s="152"/>
      <c r="F258" s="768" t="s">
        <v>449</v>
      </c>
      <c r="G258" s="768"/>
      <c r="H258" s="768"/>
      <c r="I258" s="768"/>
      <c r="J258" s="769"/>
      <c r="K258" s="572">
        <v>0</v>
      </c>
      <c r="L258" s="260"/>
      <c r="M258" s="279"/>
      <c r="N258" s="288"/>
    </row>
    <row r="259" spans="2:15" s="89" customFormat="1" outlineLevel="2" x14ac:dyDescent="0.2">
      <c r="B259" s="758"/>
      <c r="D259" s="259"/>
      <c r="E259" s="152"/>
      <c r="F259" s="765" t="s">
        <v>450</v>
      </c>
      <c r="G259" s="765"/>
      <c r="H259" s="765"/>
      <c r="I259" s="765"/>
      <c r="J259" s="766"/>
      <c r="K259" s="260">
        <f>SUM(K260,K266:K268)</f>
        <v>0</v>
      </c>
      <c r="L259" s="278" t="s">
        <v>733</v>
      </c>
      <c r="M259" s="279"/>
      <c r="N259" s="288"/>
    </row>
    <row r="260" spans="2:15" ht="15" customHeight="1" outlineLevel="3" x14ac:dyDescent="0.2">
      <c r="B260" s="758"/>
      <c r="D260" s="259"/>
      <c r="E260" s="152"/>
      <c r="F260" s="152"/>
      <c r="G260" s="765" t="s">
        <v>451</v>
      </c>
      <c r="H260" s="765"/>
      <c r="I260" s="765"/>
      <c r="J260" s="766"/>
      <c r="K260" s="260">
        <f>SUM(K261:K265)</f>
        <v>0</v>
      </c>
      <c r="L260" s="278" t="s">
        <v>734</v>
      </c>
      <c r="M260" s="279"/>
      <c r="N260" s="280"/>
      <c r="O260" s="1"/>
    </row>
    <row r="261" spans="2:15" ht="15" customHeight="1" outlineLevel="4" x14ac:dyDescent="0.2">
      <c r="B261" s="758"/>
      <c r="D261" s="259"/>
      <c r="E261" s="152"/>
      <c r="F261" s="152"/>
      <c r="G261" s="152"/>
      <c r="H261" s="765" t="s">
        <v>452</v>
      </c>
      <c r="I261" s="765"/>
      <c r="J261" s="766"/>
      <c r="K261" s="572">
        <v>0</v>
      </c>
      <c r="L261" s="260"/>
      <c r="M261" s="279"/>
      <c r="N261" s="280"/>
      <c r="O261" s="1"/>
    </row>
    <row r="262" spans="2:15" ht="15" customHeight="1" outlineLevel="4" x14ac:dyDescent="0.2">
      <c r="B262" s="758"/>
      <c r="D262" s="259"/>
      <c r="E262" s="152"/>
      <c r="F262" s="152"/>
      <c r="G262" s="152"/>
      <c r="H262" s="765" t="s">
        <v>453</v>
      </c>
      <c r="I262" s="765"/>
      <c r="J262" s="766"/>
      <c r="K262" s="572">
        <v>0</v>
      </c>
      <c r="L262" s="260"/>
      <c r="M262" s="279"/>
      <c r="N262" s="280"/>
      <c r="O262" s="1"/>
    </row>
    <row r="263" spans="2:15" ht="15" customHeight="1" outlineLevel="4" x14ac:dyDescent="0.2">
      <c r="B263" s="758"/>
      <c r="D263" s="259"/>
      <c r="E263" s="152"/>
      <c r="F263" s="152"/>
      <c r="G263" s="152"/>
      <c r="H263" s="765" t="s">
        <v>454</v>
      </c>
      <c r="I263" s="765"/>
      <c r="J263" s="766"/>
      <c r="K263" s="572">
        <v>0</v>
      </c>
      <c r="L263" s="260"/>
      <c r="M263" s="279"/>
      <c r="N263" s="280"/>
      <c r="O263" s="1"/>
    </row>
    <row r="264" spans="2:15" ht="15" customHeight="1" outlineLevel="4" x14ac:dyDescent="0.2">
      <c r="B264" s="758"/>
      <c r="D264" s="259"/>
      <c r="E264" s="152"/>
      <c r="F264" s="152"/>
      <c r="G264" s="152"/>
      <c r="H264" s="765" t="s">
        <v>455</v>
      </c>
      <c r="I264" s="765"/>
      <c r="J264" s="766"/>
      <c r="K264" s="572">
        <v>0</v>
      </c>
      <c r="L264" s="260"/>
      <c r="M264" s="279"/>
      <c r="N264" s="280"/>
      <c r="O264" s="1"/>
    </row>
    <row r="265" spans="2:15" ht="15" customHeight="1" outlineLevel="4" x14ac:dyDescent="0.2">
      <c r="B265" s="758"/>
      <c r="D265" s="259"/>
      <c r="E265" s="152"/>
      <c r="F265" s="152"/>
      <c r="G265" s="152"/>
      <c r="H265" s="765" t="s">
        <v>456</v>
      </c>
      <c r="I265" s="765"/>
      <c r="J265" s="766"/>
      <c r="K265" s="572">
        <v>0</v>
      </c>
      <c r="L265" s="260"/>
      <c r="M265" s="279"/>
      <c r="N265" s="280"/>
      <c r="O265" s="1"/>
    </row>
    <row r="266" spans="2:15" ht="15" customHeight="1" outlineLevel="3" x14ac:dyDescent="0.2">
      <c r="B266" s="758"/>
      <c r="D266" s="259"/>
      <c r="E266" s="152"/>
      <c r="F266" s="152"/>
      <c r="G266" s="768" t="s">
        <v>457</v>
      </c>
      <c r="H266" s="768"/>
      <c r="I266" s="768"/>
      <c r="J266" s="769"/>
      <c r="K266" s="572">
        <v>0</v>
      </c>
      <c r="L266" s="260"/>
      <c r="M266" s="279"/>
      <c r="N266" s="280"/>
      <c r="O266" s="1"/>
    </row>
    <row r="267" spans="2:15" ht="15" customHeight="1" outlineLevel="3" x14ac:dyDescent="0.2">
      <c r="B267" s="758"/>
      <c r="D267" s="259"/>
      <c r="E267" s="152"/>
      <c r="F267" s="152"/>
      <c r="G267" s="765" t="s">
        <v>458</v>
      </c>
      <c r="H267" s="765"/>
      <c r="I267" s="765"/>
      <c r="J267" s="766"/>
      <c r="K267" s="572">
        <v>0</v>
      </c>
      <c r="L267" s="260"/>
      <c r="M267" s="279"/>
      <c r="N267" s="280"/>
      <c r="O267" s="1"/>
    </row>
    <row r="268" spans="2:15" ht="32" customHeight="1" outlineLevel="3" x14ac:dyDescent="0.2">
      <c r="B268" s="758"/>
      <c r="D268" s="259"/>
      <c r="E268" s="152"/>
      <c r="F268" s="152"/>
      <c r="G268" s="765" t="s">
        <v>459</v>
      </c>
      <c r="H268" s="765"/>
      <c r="I268" s="765"/>
      <c r="J268" s="766"/>
      <c r="K268" s="260">
        <f>SUM(K269:K271)</f>
        <v>0</v>
      </c>
      <c r="L268" s="278" t="s">
        <v>735</v>
      </c>
      <c r="M268" s="279" t="s">
        <v>657</v>
      </c>
      <c r="N268" s="280"/>
      <c r="O268" s="1"/>
    </row>
    <row r="269" spans="2:15" ht="15" customHeight="1" outlineLevel="4" x14ac:dyDescent="0.2">
      <c r="B269" s="758"/>
      <c r="D269" s="259"/>
      <c r="E269" s="152"/>
      <c r="F269" s="152"/>
      <c r="G269" s="152"/>
      <c r="H269" s="765" t="s">
        <v>460</v>
      </c>
      <c r="I269" s="765"/>
      <c r="J269" s="766"/>
      <c r="K269" s="572">
        <v>0</v>
      </c>
      <c r="L269" s="260"/>
      <c r="M269" s="279"/>
      <c r="N269" s="280"/>
      <c r="O269" s="1"/>
    </row>
    <row r="270" spans="2:15" ht="15" customHeight="1" outlineLevel="4" x14ac:dyDescent="0.2">
      <c r="B270" s="758"/>
      <c r="D270" s="259"/>
      <c r="E270" s="152"/>
      <c r="F270" s="152"/>
      <c r="G270" s="152"/>
      <c r="H270" s="765" t="s">
        <v>461</v>
      </c>
      <c r="I270" s="765"/>
      <c r="J270" s="766"/>
      <c r="K270" s="572">
        <v>0</v>
      </c>
      <c r="L270" s="260"/>
      <c r="M270" s="279"/>
      <c r="N270" s="280"/>
      <c r="O270" s="1"/>
    </row>
    <row r="271" spans="2:15" ht="15" customHeight="1" outlineLevel="4" x14ac:dyDescent="0.2">
      <c r="B271" s="758"/>
      <c r="D271" s="259"/>
      <c r="E271" s="152"/>
      <c r="F271" s="152"/>
      <c r="G271" s="152"/>
      <c r="H271" s="765" t="s">
        <v>462</v>
      </c>
      <c r="I271" s="765"/>
      <c r="J271" s="766"/>
      <c r="K271" s="572">
        <v>0</v>
      </c>
      <c r="L271" s="260"/>
      <c r="M271" s="279"/>
      <c r="N271" s="280"/>
      <c r="O271" s="1"/>
    </row>
    <row r="272" spans="2:15" s="89" customFormat="1" ht="16" outlineLevel="2" x14ac:dyDescent="0.2">
      <c r="B272" s="758"/>
      <c r="D272" s="259"/>
      <c r="E272" s="152"/>
      <c r="F272" s="768" t="s">
        <v>463</v>
      </c>
      <c r="G272" s="768"/>
      <c r="H272" s="768"/>
      <c r="I272" s="768"/>
      <c r="J272" s="769"/>
      <c r="K272" s="260">
        <f>SUM(K273,K278,K281,K299,K303)</f>
        <v>6480</v>
      </c>
      <c r="L272" s="278" t="s">
        <v>736</v>
      </c>
      <c r="M272" s="279" t="s">
        <v>661</v>
      </c>
      <c r="N272" s="288"/>
    </row>
    <row r="273" spans="2:15" outlineLevel="3" x14ac:dyDescent="0.2">
      <c r="B273" s="758"/>
      <c r="D273" s="259"/>
      <c r="E273" s="152"/>
      <c r="F273" s="152"/>
      <c r="G273" s="765" t="s">
        <v>464</v>
      </c>
      <c r="H273" s="765"/>
      <c r="I273" s="765"/>
      <c r="J273" s="766"/>
      <c r="K273" s="260">
        <f>SUM(K274:K277)</f>
        <v>0</v>
      </c>
      <c r="L273" s="278" t="s">
        <v>737</v>
      </c>
      <c r="M273" s="279"/>
      <c r="N273" s="280"/>
      <c r="O273" s="1"/>
    </row>
    <row r="274" spans="2:15" ht="15" customHeight="1" outlineLevel="4" x14ac:dyDescent="0.2">
      <c r="B274" s="758"/>
      <c r="D274" s="259"/>
      <c r="E274" s="152"/>
      <c r="F274" s="152"/>
      <c r="G274" s="152"/>
      <c r="H274" s="765" t="s">
        <v>465</v>
      </c>
      <c r="I274" s="765"/>
      <c r="J274" s="766"/>
      <c r="K274" s="572">
        <v>0</v>
      </c>
      <c r="L274" s="260"/>
      <c r="M274" s="279"/>
      <c r="N274" s="280"/>
      <c r="O274" s="1"/>
    </row>
    <row r="275" spans="2:15" ht="15" customHeight="1" outlineLevel="4" x14ac:dyDescent="0.2">
      <c r="B275" s="758"/>
      <c r="D275" s="259"/>
      <c r="E275" s="152"/>
      <c r="F275" s="152"/>
      <c r="G275" s="152"/>
      <c r="H275" s="765" t="s">
        <v>466</v>
      </c>
      <c r="I275" s="765"/>
      <c r="J275" s="766"/>
      <c r="K275" s="572">
        <v>0</v>
      </c>
      <c r="L275" s="260"/>
      <c r="M275" s="279"/>
      <c r="N275" s="280"/>
      <c r="O275" s="1"/>
    </row>
    <row r="276" spans="2:15" ht="15" customHeight="1" outlineLevel="4" x14ac:dyDescent="0.2">
      <c r="B276" s="758"/>
      <c r="D276" s="259"/>
      <c r="E276" s="152"/>
      <c r="F276" s="152"/>
      <c r="G276" s="152"/>
      <c r="H276" s="765" t="s">
        <v>468</v>
      </c>
      <c r="I276" s="765"/>
      <c r="J276" s="766"/>
      <c r="K276" s="572">
        <v>0</v>
      </c>
      <c r="L276" s="260"/>
      <c r="M276" s="279"/>
      <c r="N276" s="280"/>
      <c r="O276" s="1"/>
    </row>
    <row r="277" spans="2:15" ht="15" customHeight="1" outlineLevel="4" x14ac:dyDescent="0.2">
      <c r="B277" s="758"/>
      <c r="D277" s="259"/>
      <c r="E277" s="152"/>
      <c r="F277" s="152"/>
      <c r="G277" s="152"/>
      <c r="H277" s="765" t="s">
        <v>467</v>
      </c>
      <c r="I277" s="765"/>
      <c r="J277" s="766"/>
      <c r="K277" s="572">
        <v>0</v>
      </c>
      <c r="L277" s="260"/>
      <c r="M277" s="279"/>
      <c r="N277" s="280"/>
      <c r="O277" s="1"/>
    </row>
    <row r="278" spans="2:15" outlineLevel="3" x14ac:dyDescent="0.2">
      <c r="B278" s="758"/>
      <c r="D278" s="259"/>
      <c r="E278" s="152"/>
      <c r="F278" s="152"/>
      <c r="G278" s="768" t="s">
        <v>469</v>
      </c>
      <c r="H278" s="768"/>
      <c r="I278" s="768"/>
      <c r="J278" s="769"/>
      <c r="K278" s="260">
        <f>SUM(K279:K280)</f>
        <v>6480</v>
      </c>
      <c r="L278" s="278" t="s">
        <v>738</v>
      </c>
      <c r="M278" s="279"/>
      <c r="N278" s="280"/>
      <c r="O278" s="1"/>
    </row>
    <row r="279" spans="2:15" ht="32" outlineLevel="4" x14ac:dyDescent="0.2">
      <c r="B279" s="758"/>
      <c r="D279" s="259"/>
      <c r="E279" s="152"/>
      <c r="F279" s="152"/>
      <c r="G279" s="152"/>
      <c r="H279" s="765" t="s">
        <v>470</v>
      </c>
      <c r="I279" s="765"/>
      <c r="J279" s="766"/>
      <c r="K279" s="572">
        <f>45*24*3</f>
        <v>3240</v>
      </c>
      <c r="L279" s="278" t="s">
        <v>634</v>
      </c>
      <c r="M279" s="279" t="s">
        <v>658</v>
      </c>
      <c r="N279" s="280"/>
      <c r="O279" s="1"/>
    </row>
    <row r="280" spans="2:15" ht="32" outlineLevel="4" x14ac:dyDescent="0.2">
      <c r="B280" s="758"/>
      <c r="D280" s="259"/>
      <c r="E280" s="152"/>
      <c r="F280" s="152"/>
      <c r="G280" s="152"/>
      <c r="H280" s="765" t="s">
        <v>471</v>
      </c>
      <c r="I280" s="765"/>
      <c r="J280" s="766"/>
      <c r="K280" s="572">
        <f>45*24*3</f>
        <v>3240</v>
      </c>
      <c r="L280" s="278" t="s">
        <v>634</v>
      </c>
      <c r="M280" s="279" t="s">
        <v>658</v>
      </c>
      <c r="N280" s="280"/>
      <c r="O280" s="1"/>
    </row>
    <row r="281" spans="2:15" outlineLevel="3" x14ac:dyDescent="0.2">
      <c r="B281" s="758"/>
      <c r="D281" s="259"/>
      <c r="E281" s="152"/>
      <c r="F281" s="152"/>
      <c r="G281" s="768" t="s">
        <v>472</v>
      </c>
      <c r="H281" s="768"/>
      <c r="I281" s="768"/>
      <c r="J281" s="769"/>
      <c r="K281" s="260">
        <f>SUM(K282,K287,K293,K296)</f>
        <v>0</v>
      </c>
      <c r="L281" s="278" t="s">
        <v>739</v>
      </c>
      <c r="M281" s="279"/>
      <c r="N281" s="280"/>
      <c r="O281" s="1"/>
    </row>
    <row r="282" spans="2:15" ht="15" customHeight="1" outlineLevel="4" x14ac:dyDescent="0.2">
      <c r="B282" s="758"/>
      <c r="D282" s="259"/>
      <c r="E282" s="152"/>
      <c r="F282" s="152"/>
      <c r="G282" s="152"/>
      <c r="H282" s="765" t="s">
        <v>473</v>
      </c>
      <c r="I282" s="765"/>
      <c r="J282" s="766"/>
      <c r="K282" s="260">
        <f>SUM(K283:K286)</f>
        <v>0</v>
      </c>
      <c r="L282" s="278" t="s">
        <v>740</v>
      </c>
      <c r="M282" s="279"/>
      <c r="N282" s="280"/>
      <c r="O282" s="1"/>
    </row>
    <row r="283" spans="2:15" ht="15" customHeight="1" outlineLevel="5" x14ac:dyDescent="0.2">
      <c r="B283" s="758"/>
      <c r="D283" s="259"/>
      <c r="E283" s="152"/>
      <c r="F283" s="152"/>
      <c r="G283" s="152"/>
      <c r="H283" s="152"/>
      <c r="I283" s="765" t="s">
        <v>474</v>
      </c>
      <c r="J283" s="766"/>
      <c r="K283" s="572">
        <v>0</v>
      </c>
      <c r="L283" s="260"/>
      <c r="M283" s="279"/>
      <c r="N283" s="280"/>
      <c r="O283" s="1"/>
    </row>
    <row r="284" spans="2:15" ht="15" customHeight="1" outlineLevel="5" x14ac:dyDescent="0.2">
      <c r="B284" s="758"/>
      <c r="D284" s="259"/>
      <c r="E284" s="152"/>
      <c r="F284" s="152"/>
      <c r="G284" s="152"/>
      <c r="H284" s="152"/>
      <c r="I284" s="765" t="s">
        <v>475</v>
      </c>
      <c r="J284" s="766"/>
      <c r="K284" s="572">
        <v>0</v>
      </c>
      <c r="L284" s="260"/>
      <c r="M284" s="279"/>
      <c r="N284" s="280"/>
      <c r="O284" s="1"/>
    </row>
    <row r="285" spans="2:15" ht="15" customHeight="1" outlineLevel="5" x14ac:dyDescent="0.2">
      <c r="B285" s="758"/>
      <c r="D285" s="259"/>
      <c r="E285" s="152"/>
      <c r="F285" s="152"/>
      <c r="G285" s="152"/>
      <c r="H285" s="152"/>
      <c r="I285" s="765" t="s">
        <v>476</v>
      </c>
      <c r="J285" s="766"/>
      <c r="K285" s="572">
        <v>0</v>
      </c>
      <c r="L285" s="260"/>
      <c r="M285" s="279"/>
      <c r="N285" s="280"/>
      <c r="O285" s="1"/>
    </row>
    <row r="286" spans="2:15" ht="15" customHeight="1" outlineLevel="5" x14ac:dyDescent="0.2">
      <c r="B286" s="758"/>
      <c r="D286" s="259"/>
      <c r="E286" s="152"/>
      <c r="F286" s="152"/>
      <c r="G286" s="152"/>
      <c r="H286" s="152"/>
      <c r="I286" s="765" t="s">
        <v>477</v>
      </c>
      <c r="J286" s="766"/>
      <c r="K286" s="572">
        <v>0</v>
      </c>
      <c r="L286" s="260"/>
      <c r="M286" s="279"/>
      <c r="N286" s="280"/>
      <c r="O286" s="1"/>
    </row>
    <row r="287" spans="2:15" ht="15" customHeight="1" outlineLevel="4" x14ac:dyDescent="0.2">
      <c r="B287" s="758"/>
      <c r="D287" s="259"/>
      <c r="E287" s="152"/>
      <c r="F287" s="152"/>
      <c r="G287" s="152"/>
      <c r="H287" s="768" t="s">
        <v>478</v>
      </c>
      <c r="I287" s="768"/>
      <c r="J287" s="769"/>
      <c r="K287" s="260">
        <f>SUM(K288:K292)</f>
        <v>0</v>
      </c>
      <c r="L287" s="278" t="s">
        <v>741</v>
      </c>
      <c r="M287" s="279"/>
      <c r="N287" s="280"/>
      <c r="O287" s="1"/>
    </row>
    <row r="288" spans="2:15" ht="15" customHeight="1" outlineLevel="5" x14ac:dyDescent="0.2">
      <c r="B288" s="758"/>
      <c r="D288" s="259"/>
      <c r="E288" s="152"/>
      <c r="F288" s="152"/>
      <c r="G288" s="152"/>
      <c r="H288" s="152"/>
      <c r="I288" s="765" t="s">
        <v>479</v>
      </c>
      <c r="J288" s="766"/>
      <c r="K288" s="572">
        <v>0</v>
      </c>
      <c r="L288" s="260"/>
      <c r="M288" s="279"/>
      <c r="N288" s="280"/>
      <c r="O288" s="1"/>
    </row>
    <row r="289" spans="2:15" ht="15" customHeight="1" outlineLevel="5" x14ac:dyDescent="0.2">
      <c r="B289" s="758"/>
      <c r="D289" s="259"/>
      <c r="E289" s="152"/>
      <c r="F289" s="152"/>
      <c r="G289" s="152"/>
      <c r="H289" s="152"/>
      <c r="I289" s="765" t="s">
        <v>480</v>
      </c>
      <c r="J289" s="766"/>
      <c r="K289" s="572">
        <v>0</v>
      </c>
      <c r="L289" s="260"/>
      <c r="M289" s="279"/>
      <c r="N289" s="280"/>
      <c r="O289" s="1"/>
    </row>
    <row r="290" spans="2:15" ht="15" customHeight="1" outlineLevel="5" x14ac:dyDescent="0.2">
      <c r="B290" s="758"/>
      <c r="D290" s="259"/>
      <c r="E290" s="152"/>
      <c r="F290" s="152"/>
      <c r="G290" s="152"/>
      <c r="H290" s="152"/>
      <c r="I290" s="765" t="s">
        <v>481</v>
      </c>
      <c r="J290" s="766"/>
      <c r="K290" s="572">
        <v>0</v>
      </c>
      <c r="L290" s="260"/>
      <c r="M290" s="279"/>
      <c r="N290" s="280"/>
      <c r="O290" s="1"/>
    </row>
    <row r="291" spans="2:15" ht="15" customHeight="1" outlineLevel="5" x14ac:dyDescent="0.2">
      <c r="B291" s="758"/>
      <c r="D291" s="259"/>
      <c r="E291" s="152"/>
      <c r="F291" s="152"/>
      <c r="G291" s="152"/>
      <c r="H291" s="152"/>
      <c r="I291" s="765" t="s">
        <v>482</v>
      </c>
      <c r="J291" s="766"/>
      <c r="K291" s="572">
        <v>0</v>
      </c>
      <c r="L291" s="260"/>
      <c r="M291" s="279"/>
      <c r="N291" s="280"/>
      <c r="O291" s="1"/>
    </row>
    <row r="292" spans="2:15" ht="15" customHeight="1" outlineLevel="5" x14ac:dyDescent="0.2">
      <c r="B292" s="758"/>
      <c r="D292" s="259"/>
      <c r="E292" s="152"/>
      <c r="F292" s="152"/>
      <c r="G292" s="152"/>
      <c r="H292" s="152"/>
      <c r="I292" s="765" t="s">
        <v>483</v>
      </c>
      <c r="J292" s="766"/>
      <c r="K292" s="572">
        <v>0</v>
      </c>
      <c r="L292" s="260"/>
      <c r="M292" s="279"/>
      <c r="N292" s="280"/>
      <c r="O292" s="1"/>
    </row>
    <row r="293" spans="2:15" ht="15" customHeight="1" outlineLevel="4" x14ac:dyDescent="0.2">
      <c r="B293" s="758"/>
      <c r="D293" s="259"/>
      <c r="E293" s="152"/>
      <c r="F293" s="152"/>
      <c r="G293" s="152"/>
      <c r="H293" s="768" t="s">
        <v>484</v>
      </c>
      <c r="I293" s="768"/>
      <c r="J293" s="769"/>
      <c r="K293" s="260">
        <f>SUM(K294:K295)</f>
        <v>0</v>
      </c>
      <c r="L293" s="278" t="s">
        <v>742</v>
      </c>
      <c r="M293" s="279"/>
      <c r="N293" s="280"/>
      <c r="O293" s="1"/>
    </row>
    <row r="294" spans="2:15" ht="15" customHeight="1" outlineLevel="5" x14ac:dyDescent="0.2">
      <c r="B294" s="758"/>
      <c r="D294" s="259"/>
      <c r="E294" s="152"/>
      <c r="F294" s="152"/>
      <c r="G294" s="152"/>
      <c r="H294" s="152"/>
      <c r="I294" s="765" t="s">
        <v>485</v>
      </c>
      <c r="J294" s="766"/>
      <c r="K294" s="572">
        <v>0</v>
      </c>
      <c r="L294" s="260"/>
      <c r="M294" s="279"/>
      <c r="N294" s="280"/>
      <c r="O294" s="1"/>
    </row>
    <row r="295" spans="2:15" ht="15" customHeight="1" outlineLevel="5" x14ac:dyDescent="0.2">
      <c r="B295" s="758"/>
      <c r="D295" s="259"/>
      <c r="E295" s="152"/>
      <c r="F295" s="152"/>
      <c r="G295" s="152"/>
      <c r="H295" s="152"/>
      <c r="I295" s="765" t="s">
        <v>486</v>
      </c>
      <c r="J295" s="766"/>
      <c r="K295" s="572">
        <v>0</v>
      </c>
      <c r="L295" s="260"/>
      <c r="M295" s="279"/>
      <c r="N295" s="280"/>
      <c r="O295" s="1"/>
    </row>
    <row r="296" spans="2:15" ht="15" customHeight="1" outlineLevel="4" x14ac:dyDescent="0.2">
      <c r="B296" s="758"/>
      <c r="D296" s="259"/>
      <c r="E296" s="152"/>
      <c r="F296" s="152"/>
      <c r="G296" s="152"/>
      <c r="H296" s="768" t="s">
        <v>487</v>
      </c>
      <c r="I296" s="768"/>
      <c r="J296" s="769"/>
      <c r="K296" s="260">
        <f>SUM(K297:K298)</f>
        <v>0</v>
      </c>
      <c r="L296" s="278" t="s">
        <v>635</v>
      </c>
      <c r="M296" s="279"/>
      <c r="N296" s="280"/>
      <c r="O296" s="1"/>
    </row>
    <row r="297" spans="2:15" ht="15" customHeight="1" outlineLevel="5" x14ac:dyDescent="0.2">
      <c r="B297" s="758"/>
      <c r="D297" s="259"/>
      <c r="E297" s="152"/>
      <c r="F297" s="152"/>
      <c r="G297" s="152"/>
      <c r="H297" s="152"/>
      <c r="I297" s="765" t="s">
        <v>488</v>
      </c>
      <c r="J297" s="766"/>
      <c r="K297" s="572">
        <v>0</v>
      </c>
      <c r="L297" s="260"/>
      <c r="M297" s="279"/>
      <c r="N297" s="280"/>
      <c r="O297" s="1"/>
    </row>
    <row r="298" spans="2:15" ht="15" customHeight="1" outlineLevel="5" x14ac:dyDescent="0.2">
      <c r="B298" s="758"/>
      <c r="D298" s="259"/>
      <c r="E298" s="152"/>
      <c r="F298" s="152"/>
      <c r="G298" s="152"/>
      <c r="H298" s="152"/>
      <c r="I298" s="765" t="s">
        <v>489</v>
      </c>
      <c r="J298" s="766"/>
      <c r="K298" s="572">
        <v>0</v>
      </c>
      <c r="L298" s="260"/>
      <c r="M298" s="279"/>
      <c r="N298" s="280"/>
      <c r="O298" s="1"/>
    </row>
    <row r="299" spans="2:15" ht="15" customHeight="1" outlineLevel="3" x14ac:dyDescent="0.2">
      <c r="B299" s="758"/>
      <c r="D299" s="259"/>
      <c r="E299" s="152"/>
      <c r="F299" s="152"/>
      <c r="G299" s="768" t="s">
        <v>490</v>
      </c>
      <c r="H299" s="768"/>
      <c r="I299" s="768"/>
      <c r="J299" s="769"/>
      <c r="K299" s="260">
        <f>SUM(K300:K302)</f>
        <v>0</v>
      </c>
      <c r="L299" s="278" t="s">
        <v>743</v>
      </c>
      <c r="M299" s="279"/>
      <c r="N299" s="280"/>
      <c r="O299" s="1"/>
    </row>
    <row r="300" spans="2:15" ht="15" customHeight="1" outlineLevel="4" x14ac:dyDescent="0.2">
      <c r="B300" s="758"/>
      <c r="D300" s="259"/>
      <c r="E300" s="152"/>
      <c r="F300" s="152"/>
      <c r="G300" s="152"/>
      <c r="H300" s="765" t="s">
        <v>491</v>
      </c>
      <c r="I300" s="765"/>
      <c r="J300" s="766"/>
      <c r="K300" s="572">
        <v>0</v>
      </c>
      <c r="L300" s="260"/>
      <c r="M300" s="279"/>
      <c r="N300" s="280"/>
      <c r="O300" s="1"/>
    </row>
    <row r="301" spans="2:15" ht="15" customHeight="1" outlineLevel="4" x14ac:dyDescent="0.2">
      <c r="B301" s="758"/>
      <c r="D301" s="259"/>
      <c r="E301" s="152"/>
      <c r="F301" s="152"/>
      <c r="G301" s="152"/>
      <c r="H301" s="765" t="s">
        <v>492</v>
      </c>
      <c r="I301" s="765"/>
      <c r="J301" s="766"/>
      <c r="K301" s="572">
        <v>0</v>
      </c>
      <c r="L301" s="260"/>
      <c r="M301" s="279"/>
      <c r="N301" s="280"/>
      <c r="O301" s="1"/>
    </row>
    <row r="302" spans="2:15" ht="15" customHeight="1" outlineLevel="4" x14ac:dyDescent="0.2">
      <c r="B302" s="758"/>
      <c r="D302" s="259"/>
      <c r="E302" s="152"/>
      <c r="F302" s="152"/>
      <c r="G302" s="152"/>
      <c r="H302" s="765" t="s">
        <v>493</v>
      </c>
      <c r="I302" s="765"/>
      <c r="J302" s="766"/>
      <c r="K302" s="572">
        <v>0</v>
      </c>
      <c r="L302" s="260"/>
      <c r="M302" s="279"/>
      <c r="N302" s="280"/>
      <c r="O302" s="1"/>
    </row>
    <row r="303" spans="2:15" ht="16" outlineLevel="3" x14ac:dyDescent="0.2">
      <c r="B303" s="758"/>
      <c r="D303" s="259"/>
      <c r="E303" s="152"/>
      <c r="F303" s="152"/>
      <c r="G303" s="768" t="s">
        <v>494</v>
      </c>
      <c r="H303" s="768"/>
      <c r="I303" s="768"/>
      <c r="J303" s="769"/>
      <c r="K303" s="572">
        <v>0</v>
      </c>
      <c r="L303" s="260"/>
      <c r="M303" s="279" t="s">
        <v>511</v>
      </c>
      <c r="N303" s="280"/>
      <c r="O303" s="1"/>
    </row>
    <row r="304" spans="2:15" s="89" customFormat="1" ht="16" outlineLevel="2" x14ac:dyDescent="0.2">
      <c r="B304" s="758"/>
      <c r="D304" s="259"/>
      <c r="E304" s="152"/>
      <c r="F304" s="768" t="s">
        <v>495</v>
      </c>
      <c r="G304" s="768"/>
      <c r="H304" s="768"/>
      <c r="I304" s="768"/>
      <c r="J304" s="769"/>
      <c r="K304" s="260">
        <f>SUM(K305:K310)</f>
        <v>0</v>
      </c>
      <c r="L304" s="278" t="s">
        <v>744</v>
      </c>
      <c r="M304" s="279" t="s">
        <v>659</v>
      </c>
      <c r="N304" s="288"/>
    </row>
    <row r="305" spans="2:15" ht="15" customHeight="1" outlineLevel="3" x14ac:dyDescent="0.2">
      <c r="B305" s="758"/>
      <c r="D305" s="259"/>
      <c r="E305" s="152"/>
      <c r="F305" s="152"/>
      <c r="G305" s="765" t="s">
        <v>496</v>
      </c>
      <c r="H305" s="765"/>
      <c r="I305" s="765"/>
      <c r="J305" s="766"/>
      <c r="K305" s="572">
        <v>0</v>
      </c>
      <c r="L305" s="260"/>
      <c r="M305" s="279"/>
      <c r="N305" s="280"/>
      <c r="O305" s="1"/>
    </row>
    <row r="306" spans="2:15" ht="15" customHeight="1" outlineLevel="3" x14ac:dyDescent="0.2">
      <c r="B306" s="758"/>
      <c r="D306" s="259"/>
      <c r="E306" s="152"/>
      <c r="F306" s="152"/>
      <c r="G306" s="765" t="s">
        <v>497</v>
      </c>
      <c r="H306" s="765"/>
      <c r="I306" s="765"/>
      <c r="J306" s="766"/>
      <c r="K306" s="572">
        <v>0</v>
      </c>
      <c r="L306" s="260"/>
      <c r="M306" s="279"/>
      <c r="N306" s="280"/>
      <c r="O306" s="1"/>
    </row>
    <row r="307" spans="2:15" ht="15" customHeight="1" outlineLevel="3" x14ac:dyDescent="0.2">
      <c r="B307" s="758"/>
      <c r="D307" s="259"/>
      <c r="E307" s="152"/>
      <c r="F307" s="152"/>
      <c r="G307" s="765" t="s">
        <v>498</v>
      </c>
      <c r="H307" s="765"/>
      <c r="I307" s="765"/>
      <c r="J307" s="766"/>
      <c r="K307" s="572">
        <v>0</v>
      </c>
      <c r="L307" s="260"/>
      <c r="M307" s="279"/>
      <c r="N307" s="280"/>
      <c r="O307" s="1"/>
    </row>
    <row r="308" spans="2:15" ht="15" customHeight="1" outlineLevel="3" x14ac:dyDescent="0.2">
      <c r="B308" s="758"/>
      <c r="D308" s="259"/>
      <c r="E308" s="152"/>
      <c r="F308" s="152"/>
      <c r="G308" s="765" t="s">
        <v>499</v>
      </c>
      <c r="H308" s="765"/>
      <c r="I308" s="765"/>
      <c r="J308" s="766"/>
      <c r="K308" s="572">
        <v>0</v>
      </c>
      <c r="L308" s="260"/>
      <c r="M308" s="279"/>
      <c r="N308" s="280"/>
      <c r="O308" s="1"/>
    </row>
    <row r="309" spans="2:15" ht="15" customHeight="1" outlineLevel="3" x14ac:dyDescent="0.2">
      <c r="B309" s="758"/>
      <c r="D309" s="259"/>
      <c r="E309" s="152"/>
      <c r="F309" s="152"/>
      <c r="G309" s="765" t="s">
        <v>500</v>
      </c>
      <c r="H309" s="765"/>
      <c r="I309" s="765"/>
      <c r="J309" s="766"/>
      <c r="K309" s="572">
        <v>0</v>
      </c>
      <c r="L309" s="260"/>
      <c r="M309" s="279"/>
      <c r="N309" s="280"/>
      <c r="O309" s="1"/>
    </row>
    <row r="310" spans="2:15" ht="15" customHeight="1" outlineLevel="3" x14ac:dyDescent="0.2">
      <c r="B310" s="758"/>
      <c r="D310" s="259"/>
      <c r="E310" s="152"/>
      <c r="F310" s="152"/>
      <c r="G310" s="765" t="s">
        <v>501</v>
      </c>
      <c r="H310" s="765"/>
      <c r="I310" s="765"/>
      <c r="J310" s="766"/>
      <c r="K310" s="572">
        <v>0</v>
      </c>
      <c r="L310" s="260"/>
      <c r="M310" s="279"/>
      <c r="N310" s="280"/>
      <c r="O310" s="1"/>
    </row>
    <row r="311" spans="2:15" s="89" customFormat="1" ht="16" outlineLevel="1" x14ac:dyDescent="0.2">
      <c r="B311" s="758"/>
      <c r="D311" s="259"/>
      <c r="E311" s="768" t="s">
        <v>502</v>
      </c>
      <c r="F311" s="768"/>
      <c r="G311" s="768"/>
      <c r="H311" s="768"/>
      <c r="I311" s="768"/>
      <c r="J311" s="769"/>
      <c r="K311" s="260">
        <f>SUM(K312:K315)</f>
        <v>0</v>
      </c>
      <c r="L311" s="278" t="s">
        <v>745</v>
      </c>
      <c r="M311" s="279" t="s">
        <v>660</v>
      </c>
      <c r="N311" s="288"/>
    </row>
    <row r="312" spans="2:15" s="89" customFormat="1" outlineLevel="2" x14ac:dyDescent="0.2">
      <c r="B312" s="758"/>
      <c r="D312" s="259"/>
      <c r="E312" s="152"/>
      <c r="F312" s="765" t="s">
        <v>503</v>
      </c>
      <c r="G312" s="765"/>
      <c r="H312" s="765"/>
      <c r="I312" s="765"/>
      <c r="J312" s="766"/>
      <c r="K312" s="572">
        <v>0</v>
      </c>
      <c r="L312" s="260"/>
      <c r="M312" s="279"/>
      <c r="N312" s="280"/>
    </row>
    <row r="313" spans="2:15" s="89" customFormat="1" outlineLevel="2" x14ac:dyDescent="0.2">
      <c r="B313" s="758"/>
      <c r="D313" s="259"/>
      <c r="E313" s="152"/>
      <c r="F313" s="765" t="s">
        <v>504</v>
      </c>
      <c r="G313" s="765"/>
      <c r="H313" s="765"/>
      <c r="I313" s="765"/>
      <c r="J313" s="766"/>
      <c r="K313" s="572">
        <v>0</v>
      </c>
      <c r="L313" s="260"/>
      <c r="M313" s="279"/>
      <c r="N313" s="280"/>
    </row>
    <row r="314" spans="2:15" s="89" customFormat="1" outlineLevel="2" x14ac:dyDescent="0.2">
      <c r="B314" s="758"/>
      <c r="D314" s="259"/>
      <c r="E314" s="152"/>
      <c r="F314" s="765" t="s">
        <v>505</v>
      </c>
      <c r="G314" s="765"/>
      <c r="H314" s="765"/>
      <c r="I314" s="765"/>
      <c r="J314" s="766"/>
      <c r="K314" s="572">
        <v>0</v>
      </c>
      <c r="L314" s="260"/>
      <c r="M314" s="279"/>
      <c r="N314" s="280"/>
    </row>
    <row r="315" spans="2:15" s="89" customFormat="1" outlineLevel="2" x14ac:dyDescent="0.2">
      <c r="B315" s="758"/>
      <c r="D315" s="259"/>
      <c r="E315" s="152"/>
      <c r="F315" s="765" t="s">
        <v>506</v>
      </c>
      <c r="G315" s="765"/>
      <c r="H315" s="765"/>
      <c r="I315" s="765"/>
      <c r="J315" s="766"/>
      <c r="K315" s="260">
        <f>SUM(K316:K318)</f>
        <v>0</v>
      </c>
      <c r="L315" s="278" t="s">
        <v>746</v>
      </c>
      <c r="M315" s="279"/>
      <c r="N315" s="280"/>
    </row>
    <row r="316" spans="2:15" ht="16" customHeight="1" outlineLevel="3" x14ac:dyDescent="0.2">
      <c r="B316" s="758"/>
      <c r="D316" s="259"/>
      <c r="E316" s="152"/>
      <c r="F316" s="152"/>
      <c r="G316" s="765" t="s">
        <v>507</v>
      </c>
      <c r="H316" s="765"/>
      <c r="I316" s="765"/>
      <c r="J316" s="766"/>
      <c r="K316" s="572">
        <v>0</v>
      </c>
      <c r="L316" s="260"/>
      <c r="M316" s="279"/>
      <c r="N316" s="280"/>
      <c r="O316" s="1"/>
    </row>
    <row r="317" spans="2:15" ht="16" customHeight="1" outlineLevel="3" x14ac:dyDescent="0.2">
      <c r="B317" s="758"/>
      <c r="D317" s="259"/>
      <c r="E317" s="152"/>
      <c r="F317" s="152"/>
      <c r="G317" s="765" t="s">
        <v>508</v>
      </c>
      <c r="H317" s="765"/>
      <c r="I317" s="765"/>
      <c r="J317" s="766"/>
      <c r="K317" s="572">
        <v>0</v>
      </c>
      <c r="L317" s="260"/>
      <c r="M317" s="279"/>
      <c r="N317" s="280"/>
      <c r="O317" s="1"/>
    </row>
    <row r="318" spans="2:15" ht="16" customHeight="1" outlineLevel="3" thickBot="1" x14ac:dyDescent="0.25">
      <c r="B318" s="758"/>
      <c r="D318" s="273"/>
      <c r="E318" s="274"/>
      <c r="F318" s="274"/>
      <c r="G318" s="783" t="s">
        <v>509</v>
      </c>
      <c r="H318" s="783"/>
      <c r="I318" s="783"/>
      <c r="J318" s="784"/>
      <c r="K318" s="574">
        <v>0</v>
      </c>
      <c r="L318" s="281"/>
      <c r="M318" s="285"/>
      <c r="N318" s="290"/>
      <c r="O318" s="1"/>
    </row>
    <row r="319" spans="2:15" ht="16" x14ac:dyDescent="0.2">
      <c r="B319" s="758"/>
      <c r="D319" s="767"/>
      <c r="E319" s="767"/>
      <c r="F319" s="767"/>
      <c r="G319" s="767"/>
      <c r="H319" s="767"/>
      <c r="I319" s="767"/>
      <c r="J319" s="767"/>
      <c r="K319" s="97"/>
      <c r="L319" s="97"/>
      <c r="M319" s="95"/>
      <c r="N319" s="1"/>
      <c r="O319" s="1"/>
    </row>
    <row r="320" spans="2:15" ht="17" thickBot="1" x14ac:dyDescent="0.25">
      <c r="B320" s="758"/>
      <c r="D320" s="96"/>
      <c r="E320" s="96"/>
      <c r="F320" s="96"/>
      <c r="G320" s="96"/>
      <c r="H320" s="96"/>
      <c r="I320" s="96"/>
      <c r="J320" s="96"/>
      <c r="K320" s="97"/>
      <c r="L320" s="97"/>
      <c r="M320" s="95"/>
      <c r="N320" s="1"/>
      <c r="O320" s="1"/>
    </row>
    <row r="321" spans="2:26" ht="19" x14ac:dyDescent="0.2">
      <c r="B321" s="758"/>
      <c r="J321" s="760" t="s">
        <v>208</v>
      </c>
      <c r="K321" s="761"/>
      <c r="L321" s="762"/>
      <c r="N321" s="1"/>
      <c r="O321" s="1"/>
    </row>
    <row r="322" spans="2:26" ht="16" x14ac:dyDescent="0.2">
      <c r="B322" s="758"/>
      <c r="J322" s="299" t="s">
        <v>896</v>
      </c>
      <c r="K322" s="300" t="s">
        <v>897</v>
      </c>
      <c r="L322" s="301" t="s">
        <v>898</v>
      </c>
    </row>
    <row r="323" spans="2:26" ht="19" customHeight="1" x14ac:dyDescent="0.2">
      <c r="B323" s="758"/>
      <c r="J323" s="302" t="s">
        <v>578</v>
      </c>
      <c r="K323" s="575">
        <v>1038225</v>
      </c>
      <c r="L323" s="570">
        <v>1</v>
      </c>
      <c r="N323" s="192"/>
    </row>
    <row r="324" spans="2:26" ht="16" customHeight="1" x14ac:dyDescent="0.2">
      <c r="B324" s="758"/>
      <c r="J324" s="302" t="s">
        <v>579</v>
      </c>
      <c r="K324" s="575">
        <v>129402</v>
      </c>
      <c r="L324" s="570">
        <v>1</v>
      </c>
      <c r="N324" s="5"/>
    </row>
    <row r="325" spans="2:26" ht="15" customHeight="1" x14ac:dyDescent="0.2">
      <c r="B325" s="758"/>
      <c r="J325" s="302" t="s">
        <v>580</v>
      </c>
      <c r="K325" s="575">
        <v>36000</v>
      </c>
      <c r="L325" s="570">
        <v>1</v>
      </c>
      <c r="N325" s="157"/>
    </row>
    <row r="326" spans="2:26" ht="15" customHeight="1" thickBot="1" x14ac:dyDescent="0.25">
      <c r="B326" s="758"/>
      <c r="J326" s="303" t="s">
        <v>581</v>
      </c>
      <c r="K326" s="576">
        <v>64332</v>
      </c>
      <c r="L326" s="571">
        <v>1</v>
      </c>
      <c r="N326" s="157"/>
    </row>
    <row r="327" spans="2:26" ht="15" customHeight="1" x14ac:dyDescent="0.2">
      <c r="B327" s="758"/>
      <c r="N327" s="157"/>
    </row>
    <row r="328" spans="2:26" ht="15" customHeight="1" thickBot="1" x14ac:dyDescent="0.25">
      <c r="B328" s="758"/>
      <c r="N328" s="125"/>
      <c r="R328" s="786"/>
      <c r="S328" s="786"/>
      <c r="T328" s="786"/>
      <c r="U328" s="786"/>
      <c r="V328" s="786"/>
      <c r="W328" s="786"/>
      <c r="Y328" s="782"/>
      <c r="Z328" s="782"/>
    </row>
    <row r="329" spans="2:26" ht="15" customHeight="1" x14ac:dyDescent="0.2">
      <c r="B329" s="758"/>
      <c r="D329" s="5"/>
      <c r="E329" s="5"/>
      <c r="F329" s="5"/>
      <c r="G329" s="5"/>
      <c r="H329" s="5"/>
      <c r="I329" s="5"/>
      <c r="J329" s="760" t="s">
        <v>662</v>
      </c>
      <c r="K329" s="761"/>
      <c r="L329" s="762"/>
      <c r="N329" s="125"/>
      <c r="R329" s="102"/>
      <c r="S329" s="102"/>
      <c r="T329" s="102"/>
      <c r="U329" s="102"/>
      <c r="V329" s="102"/>
      <c r="W329" s="102"/>
      <c r="Y329" s="98"/>
      <c r="Z329" s="98"/>
    </row>
    <row r="330" spans="2:26" ht="16" x14ac:dyDescent="0.2">
      <c r="B330" s="758"/>
      <c r="J330" s="311" t="s">
        <v>189</v>
      </c>
      <c r="K330" s="312" t="s">
        <v>186</v>
      </c>
      <c r="L330" s="313" t="s">
        <v>187</v>
      </c>
      <c r="R330" s="788"/>
      <c r="S330" s="788"/>
      <c r="T330" s="788"/>
      <c r="U330" s="788"/>
      <c r="V330" s="787"/>
      <c r="W330" s="787"/>
      <c r="Y330" s="68"/>
      <c r="Z330" s="103"/>
    </row>
    <row r="331" spans="2:26" x14ac:dyDescent="0.2">
      <c r="B331" s="758"/>
      <c r="J331" s="302" t="s">
        <v>190</v>
      </c>
      <c r="K331" s="575">
        <v>35349</v>
      </c>
      <c r="L331" s="570">
        <v>3</v>
      </c>
      <c r="R331" s="789"/>
      <c r="S331" s="789"/>
      <c r="T331" s="789"/>
      <c r="U331" s="789"/>
      <c r="Y331" s="104"/>
      <c r="Z331" s="105"/>
    </row>
    <row r="332" spans="2:26" ht="15" customHeight="1" x14ac:dyDescent="0.2">
      <c r="B332" s="758"/>
      <c r="J332" s="302" t="s">
        <v>191</v>
      </c>
      <c r="K332" s="575">
        <v>12985</v>
      </c>
      <c r="L332" s="570">
        <v>1</v>
      </c>
      <c r="R332" s="52"/>
      <c r="S332" s="52"/>
      <c r="T332" s="52"/>
      <c r="U332" s="52"/>
      <c r="Y332" s="104"/>
      <c r="Z332" s="105"/>
    </row>
    <row r="333" spans="2:26" ht="15" customHeight="1" x14ac:dyDescent="0.2">
      <c r="B333" s="758"/>
      <c r="J333" s="302" t="s">
        <v>192</v>
      </c>
      <c r="K333" s="575">
        <v>43415</v>
      </c>
      <c r="L333" s="570">
        <v>1</v>
      </c>
      <c r="R333" s="52"/>
      <c r="S333" s="52"/>
      <c r="T333" s="52"/>
      <c r="U333" s="52"/>
      <c r="Y333" s="104"/>
      <c r="Z333" s="105"/>
    </row>
    <row r="334" spans="2:26" ht="15" customHeight="1" x14ac:dyDescent="0.2">
      <c r="B334" s="758"/>
      <c r="J334" s="302" t="s">
        <v>195</v>
      </c>
      <c r="K334" s="575">
        <v>1050</v>
      </c>
      <c r="L334" s="570">
        <v>2</v>
      </c>
      <c r="R334" s="52"/>
      <c r="S334" s="52"/>
      <c r="T334" s="52"/>
      <c r="U334" s="52"/>
      <c r="Y334" s="104"/>
      <c r="Z334" s="105"/>
    </row>
    <row r="335" spans="2:26" ht="15" customHeight="1" x14ac:dyDescent="0.2">
      <c r="B335" s="758"/>
      <c r="J335" s="302" t="s">
        <v>193</v>
      </c>
      <c r="K335" s="575">
        <v>13766</v>
      </c>
      <c r="L335" s="570">
        <v>3</v>
      </c>
      <c r="R335" s="789"/>
      <c r="S335" s="789"/>
      <c r="T335" s="789"/>
      <c r="U335" s="789"/>
      <c r="Y335" s="106"/>
    </row>
    <row r="336" spans="2:26" ht="15" customHeight="1" x14ac:dyDescent="0.2">
      <c r="B336" s="758"/>
      <c r="D336" s="1"/>
      <c r="E336" s="1"/>
      <c r="F336" s="1"/>
      <c r="G336" s="1"/>
      <c r="H336" s="1"/>
      <c r="I336" s="99"/>
      <c r="J336" s="302" t="s">
        <v>194</v>
      </c>
      <c r="K336" s="575">
        <v>3495</v>
      </c>
      <c r="L336" s="570">
        <v>6</v>
      </c>
      <c r="R336" s="789"/>
      <c r="S336" s="789"/>
      <c r="T336" s="789"/>
      <c r="U336" s="789"/>
      <c r="Y336" s="96"/>
      <c r="Z336" s="97"/>
    </row>
    <row r="337" spans="2:26" ht="15" customHeight="1" x14ac:dyDescent="0.2">
      <c r="B337" s="758"/>
      <c r="J337" s="302" t="s">
        <v>196</v>
      </c>
      <c r="K337" s="575">
        <v>14429</v>
      </c>
      <c r="L337" s="570">
        <v>1</v>
      </c>
      <c r="S337" s="107"/>
      <c r="T337" s="107"/>
      <c r="U337" s="107"/>
    </row>
    <row r="338" spans="2:26" ht="15" customHeight="1" x14ac:dyDescent="0.2">
      <c r="B338" s="758"/>
      <c r="J338" s="302" t="s">
        <v>201</v>
      </c>
      <c r="K338" s="575">
        <v>1190</v>
      </c>
      <c r="L338" s="570">
        <v>2</v>
      </c>
      <c r="R338" s="69"/>
      <c r="S338" s="69"/>
      <c r="T338" s="69"/>
      <c r="U338" s="69"/>
      <c r="V338" s="92"/>
      <c r="W338" s="92"/>
      <c r="X338" s="92"/>
      <c r="Y338" s="91"/>
      <c r="Z338" s="91"/>
    </row>
    <row r="339" spans="2:26" ht="15" customHeight="1" x14ac:dyDescent="0.2">
      <c r="B339" s="758"/>
      <c r="J339" s="302" t="s">
        <v>202</v>
      </c>
      <c r="K339" s="575">
        <v>1860</v>
      </c>
      <c r="L339" s="570">
        <v>1</v>
      </c>
    </row>
    <row r="340" spans="2:26" ht="15" customHeight="1" x14ac:dyDescent="0.2">
      <c r="B340" s="758"/>
      <c r="J340" s="302" t="s">
        <v>197</v>
      </c>
      <c r="K340" s="575">
        <v>33435</v>
      </c>
      <c r="L340" s="570">
        <v>3</v>
      </c>
    </row>
    <row r="341" spans="2:26" ht="15" customHeight="1" x14ac:dyDescent="0.2">
      <c r="B341" s="758"/>
      <c r="J341" s="302" t="s">
        <v>198</v>
      </c>
      <c r="K341" s="575">
        <v>6536</v>
      </c>
      <c r="L341" s="570">
        <v>2</v>
      </c>
      <c r="M341" s="552"/>
    </row>
    <row r="342" spans="2:26" ht="15" customHeight="1" x14ac:dyDescent="0.2">
      <c r="B342" s="758"/>
      <c r="J342" s="302" t="s">
        <v>199</v>
      </c>
      <c r="K342" s="575">
        <v>31029</v>
      </c>
      <c r="L342" s="570">
        <v>2</v>
      </c>
    </row>
    <row r="343" spans="2:26" ht="16" thickBot="1" x14ac:dyDescent="0.25">
      <c r="B343" s="759"/>
      <c r="J343" s="314" t="s">
        <v>200</v>
      </c>
      <c r="K343" s="577">
        <v>22098</v>
      </c>
      <c r="L343" s="578">
        <v>2</v>
      </c>
    </row>
    <row r="344" spans="2:26" ht="15" customHeight="1" x14ac:dyDescent="0.2"/>
    <row r="345" spans="2:26" ht="15" customHeight="1" x14ac:dyDescent="0.2"/>
    <row r="346" spans="2:26" ht="15" customHeight="1" thickBot="1" x14ac:dyDescent="0.25">
      <c r="B346" s="12"/>
      <c r="D346" s="68"/>
      <c r="E346" s="68"/>
      <c r="F346" s="68"/>
      <c r="G346" s="68"/>
      <c r="H346" s="68"/>
      <c r="I346" s="68"/>
      <c r="J346" s="1"/>
      <c r="K346" s="50"/>
      <c r="L346" s="50"/>
      <c r="M346" s="50"/>
      <c r="N346" s="82"/>
    </row>
    <row r="347" spans="2:26" ht="15" customHeight="1" thickBot="1" x14ac:dyDescent="0.25">
      <c r="B347" s="757" t="s">
        <v>51</v>
      </c>
      <c r="D347" s="779" t="s">
        <v>939</v>
      </c>
      <c r="E347" s="780"/>
      <c r="F347" s="780"/>
      <c r="G347" s="780"/>
      <c r="H347" s="780"/>
      <c r="I347" s="780"/>
      <c r="J347" s="780"/>
      <c r="K347" s="780"/>
      <c r="L347" s="780"/>
      <c r="M347" s="781"/>
      <c r="N347" s="82"/>
    </row>
    <row r="348" spans="2:26" ht="15" customHeight="1" x14ac:dyDescent="0.2">
      <c r="B348" s="758"/>
      <c r="D348" s="822" t="s">
        <v>525</v>
      </c>
      <c r="E348" s="823"/>
      <c r="F348" s="823"/>
      <c r="G348" s="823"/>
      <c r="H348" s="824"/>
      <c r="I348" s="23" t="s">
        <v>213</v>
      </c>
      <c r="J348" s="23" t="s">
        <v>899</v>
      </c>
      <c r="K348" s="501" t="s">
        <v>900</v>
      </c>
      <c r="L348" s="23" t="s">
        <v>901</v>
      </c>
      <c r="M348" s="317" t="s">
        <v>902</v>
      </c>
      <c r="N348" s="82"/>
    </row>
    <row r="349" spans="2:26" ht="15" customHeight="1" x14ac:dyDescent="0.2">
      <c r="B349" s="758"/>
      <c r="D349" s="825"/>
      <c r="E349" s="826"/>
      <c r="F349" s="826"/>
      <c r="G349" s="826"/>
      <c r="H349" s="827"/>
      <c r="I349" s="84" t="s">
        <v>526</v>
      </c>
      <c r="J349" s="508">
        <f>K18</f>
        <v>37946.61</v>
      </c>
      <c r="K349" s="507">
        <v>1</v>
      </c>
      <c r="L349" s="497">
        <f>H8</f>
        <v>0.08</v>
      </c>
      <c r="M349" s="502">
        <f>J349*K349^-(-LOG(1-L349)/LOG(2))*K349</f>
        <v>37946.61</v>
      </c>
      <c r="N349" s="82"/>
    </row>
    <row r="350" spans="2:26" ht="15" customHeight="1" x14ac:dyDescent="0.2">
      <c r="B350" s="758"/>
      <c r="D350" s="825"/>
      <c r="E350" s="826"/>
      <c r="F350" s="826"/>
      <c r="G350" s="826"/>
      <c r="H350" s="827"/>
      <c r="I350" s="496"/>
      <c r="J350" s="495"/>
      <c r="K350" s="507">
        <f>K4</f>
        <v>777</v>
      </c>
      <c r="L350" s="499">
        <f>H8</f>
        <v>0.08</v>
      </c>
      <c r="M350" s="318">
        <f>$J$349*K350^-(-LOG(1-L350)/LOG(2))*K350</f>
        <v>13240153.527476741</v>
      </c>
      <c r="N350" s="82"/>
    </row>
    <row r="351" spans="2:26" ht="15" customHeight="1" x14ac:dyDescent="0.2">
      <c r="B351" s="758"/>
      <c r="D351" s="825"/>
      <c r="E351" s="826"/>
      <c r="F351" s="826"/>
      <c r="G351" s="826"/>
      <c r="H351" s="827"/>
      <c r="I351" s="496"/>
      <c r="J351" s="495"/>
      <c r="K351" s="507">
        <f t="shared" ref="K351:K355" si="0">K5</f>
        <v>329</v>
      </c>
      <c r="L351" s="480">
        <f>H8</f>
        <v>0.08</v>
      </c>
      <c r="M351" s="318">
        <f>$J$349*K351^-(-LOG(1-L351)/LOG(2))*K351</f>
        <v>6216768.9965651231</v>
      </c>
      <c r="N351" s="82"/>
    </row>
    <row r="352" spans="2:26" ht="15" customHeight="1" x14ac:dyDescent="0.2">
      <c r="B352" s="758"/>
      <c r="D352" s="825"/>
      <c r="E352" s="826"/>
      <c r="F352" s="826"/>
      <c r="G352" s="826"/>
      <c r="H352" s="827"/>
      <c r="I352" s="496"/>
      <c r="J352" s="495"/>
      <c r="K352" s="507">
        <f t="shared" si="0"/>
        <v>534</v>
      </c>
      <c r="L352" s="497">
        <f>H8</f>
        <v>0.08</v>
      </c>
      <c r="M352" s="318">
        <f>$J$349*K352^-(-LOG(1-L352)/LOG(2))*K352</f>
        <v>9519338.1742473189</v>
      </c>
      <c r="N352" s="82"/>
    </row>
    <row r="353" spans="2:14" ht="15" customHeight="1" x14ac:dyDescent="0.2">
      <c r="B353" s="758"/>
      <c r="D353" s="825"/>
      <c r="E353" s="826"/>
      <c r="F353" s="826"/>
      <c r="G353" s="826"/>
      <c r="H353" s="827"/>
      <c r="I353" s="496"/>
      <c r="J353" s="506"/>
      <c r="K353" s="507">
        <f t="shared" si="0"/>
        <v>415</v>
      </c>
      <c r="L353" s="498">
        <f>H8</f>
        <v>0.08</v>
      </c>
      <c r="M353" s="318">
        <f t="shared" ref="M353:M355" si="1">$J$349*K353^-(-LOG(1-L353)/LOG(2))*K353</f>
        <v>7625792.6242240099</v>
      </c>
      <c r="N353" s="82"/>
    </row>
    <row r="354" spans="2:14" ht="15" customHeight="1" x14ac:dyDescent="0.2">
      <c r="B354" s="758"/>
      <c r="D354" s="825"/>
      <c r="E354" s="826"/>
      <c r="F354" s="826"/>
      <c r="G354" s="826"/>
      <c r="H354" s="827"/>
      <c r="I354" s="496"/>
      <c r="J354" s="506"/>
      <c r="K354" s="507">
        <f t="shared" si="0"/>
        <v>176</v>
      </c>
      <c r="L354" s="498">
        <f>H8</f>
        <v>0.08</v>
      </c>
      <c r="M354" s="318">
        <f t="shared" si="1"/>
        <v>3585613.1005409411</v>
      </c>
      <c r="N354" s="82"/>
    </row>
    <row r="355" spans="2:14" ht="15" customHeight="1" x14ac:dyDescent="0.2">
      <c r="B355" s="758"/>
      <c r="D355" s="825"/>
      <c r="E355" s="826"/>
      <c r="F355" s="826"/>
      <c r="G355" s="826"/>
      <c r="H355" s="827"/>
      <c r="I355" s="496"/>
      <c r="J355" s="506"/>
      <c r="K355" s="507">
        <f t="shared" si="0"/>
        <v>285</v>
      </c>
      <c r="L355" s="498">
        <f>H8</f>
        <v>0.08</v>
      </c>
      <c r="M355" s="318">
        <f t="shared" si="1"/>
        <v>5479162.2683603968</v>
      </c>
      <c r="N355" s="82"/>
    </row>
    <row r="356" spans="2:14" ht="15" customHeight="1" x14ac:dyDescent="0.2">
      <c r="B356" s="758"/>
      <c r="D356" s="825"/>
      <c r="E356" s="826"/>
      <c r="F356" s="826"/>
      <c r="G356" s="826"/>
      <c r="H356" s="827"/>
      <c r="I356" s="495" t="s">
        <v>1000</v>
      </c>
      <c r="J356" s="701">
        <f>K159</f>
        <v>1628</v>
      </c>
      <c r="K356" s="702">
        <v>1</v>
      </c>
      <c r="L356" s="45">
        <f>H9</f>
        <v>0.06</v>
      </c>
      <c r="M356" s="318">
        <f>$J$356*K356^-(-LOG(1-L356)/LOG(2))*K356</f>
        <v>1628</v>
      </c>
      <c r="N356" s="82"/>
    </row>
    <row r="357" spans="2:14" ht="15" customHeight="1" x14ac:dyDescent="0.2">
      <c r="B357" s="758"/>
      <c r="D357" s="825"/>
      <c r="E357" s="826"/>
      <c r="F357" s="826"/>
      <c r="G357" s="826"/>
      <c r="H357" s="827"/>
      <c r="I357" s="495"/>
      <c r="J357" s="506"/>
      <c r="K357" s="702">
        <f>K4</f>
        <v>777</v>
      </c>
      <c r="L357" s="45">
        <f>H9</f>
        <v>0.06</v>
      </c>
      <c r="M357" s="318">
        <f>$J$356*K357^-(-LOG(1-L357)/LOG(2))*K357</f>
        <v>698321.20361116796</v>
      </c>
      <c r="N357" s="82"/>
    </row>
    <row r="358" spans="2:14" ht="15" customHeight="1" x14ac:dyDescent="0.2">
      <c r="B358" s="758"/>
      <c r="D358" s="825"/>
      <c r="E358" s="826"/>
      <c r="F358" s="826"/>
      <c r="G358" s="826"/>
      <c r="H358" s="827"/>
      <c r="I358" s="495"/>
      <c r="J358" s="506"/>
      <c r="K358" s="702">
        <f>K5</f>
        <v>329</v>
      </c>
      <c r="L358" s="45">
        <f>H9</f>
        <v>0.06</v>
      </c>
      <c r="M358" s="318">
        <f t="shared" ref="M358:M361" si="2">$J$356*K358^-(-LOG(1-L358)/LOG(2))*K358</f>
        <v>319261.77306053141</v>
      </c>
      <c r="N358" s="82"/>
    </row>
    <row r="359" spans="2:14" ht="15" customHeight="1" x14ac:dyDescent="0.2">
      <c r="B359" s="758"/>
      <c r="D359" s="825"/>
      <c r="E359" s="826"/>
      <c r="F359" s="826"/>
      <c r="G359" s="826"/>
      <c r="H359" s="827"/>
      <c r="I359" s="495"/>
      <c r="J359" s="506"/>
      <c r="K359" s="702">
        <f t="shared" ref="K359:K362" si="3">K6</f>
        <v>534</v>
      </c>
      <c r="L359" s="45">
        <f>H9</f>
        <v>0.06</v>
      </c>
      <c r="M359" s="318">
        <f t="shared" si="2"/>
        <v>496266.9004781025</v>
      </c>
      <c r="N359" s="82"/>
    </row>
    <row r="360" spans="2:14" ht="15" customHeight="1" x14ac:dyDescent="0.2">
      <c r="B360" s="758"/>
      <c r="D360" s="825"/>
      <c r="E360" s="826"/>
      <c r="F360" s="826"/>
      <c r="G360" s="826"/>
      <c r="H360" s="827"/>
      <c r="I360" s="495"/>
      <c r="J360" s="506"/>
      <c r="K360" s="702">
        <f t="shared" si="3"/>
        <v>415</v>
      </c>
      <c r="L360" s="45">
        <f>H9</f>
        <v>0.06</v>
      </c>
      <c r="M360" s="318">
        <f t="shared" si="2"/>
        <v>394453.95298514003</v>
      </c>
      <c r="N360" s="82"/>
    </row>
    <row r="361" spans="2:14" ht="15" customHeight="1" x14ac:dyDescent="0.2">
      <c r="B361" s="758"/>
      <c r="D361" s="825"/>
      <c r="E361" s="826"/>
      <c r="F361" s="826"/>
      <c r="G361" s="826"/>
      <c r="H361" s="827"/>
      <c r="I361" s="495"/>
      <c r="J361" s="506"/>
      <c r="K361" s="702">
        <f t="shared" si="3"/>
        <v>176</v>
      </c>
      <c r="L361" s="45">
        <f>H9</f>
        <v>0.06</v>
      </c>
      <c r="M361" s="318">
        <f t="shared" si="2"/>
        <v>180599.3279389792</v>
      </c>
      <c r="N361" s="82"/>
    </row>
    <row r="362" spans="2:14" ht="15" customHeight="1" x14ac:dyDescent="0.2">
      <c r="B362" s="758"/>
      <c r="D362" s="825"/>
      <c r="E362" s="826"/>
      <c r="F362" s="826"/>
      <c r="G362" s="826"/>
      <c r="H362" s="827"/>
      <c r="I362" s="495"/>
      <c r="J362" s="506"/>
      <c r="K362" s="702">
        <f t="shared" si="3"/>
        <v>285</v>
      </c>
      <c r="L362" s="45">
        <f>H9</f>
        <v>0.06</v>
      </c>
      <c r="M362" s="318">
        <f>$J$356*K362^-(-LOG(1-L362)/LOG(2))*K362</f>
        <v>280131.40176493884</v>
      </c>
      <c r="N362" s="82"/>
    </row>
    <row r="363" spans="2:14" ht="15" customHeight="1" x14ac:dyDescent="0.2">
      <c r="B363" s="758"/>
      <c r="D363" s="825"/>
      <c r="E363" s="826"/>
      <c r="F363" s="826"/>
      <c r="G363" s="826"/>
      <c r="H363" s="827"/>
      <c r="I363" s="316" t="s">
        <v>999</v>
      </c>
      <c r="J363" s="315">
        <f>K114-J356</f>
        <v>2880480</v>
      </c>
      <c r="K363" s="703"/>
      <c r="L363" s="704"/>
      <c r="M363" s="503"/>
      <c r="N363" s="82"/>
    </row>
    <row r="364" spans="2:14" ht="15" customHeight="1" x14ac:dyDescent="0.2">
      <c r="B364" s="758"/>
      <c r="D364" s="825"/>
      <c r="E364" s="826"/>
      <c r="F364" s="826"/>
      <c r="G364" s="826"/>
      <c r="H364" s="827"/>
      <c r="I364" s="316" t="s">
        <v>530</v>
      </c>
      <c r="J364" s="315">
        <f>K311</f>
        <v>0</v>
      </c>
      <c r="K364" s="703"/>
      <c r="L364" s="704"/>
      <c r="M364" s="503"/>
      <c r="N364" s="82"/>
    </row>
    <row r="365" spans="2:14" ht="32" customHeight="1" thickBot="1" x14ac:dyDescent="0.25">
      <c r="B365" s="758"/>
      <c r="D365" s="828"/>
      <c r="E365" s="829"/>
      <c r="F365" s="829"/>
      <c r="G365" s="829"/>
      <c r="H365" s="830"/>
      <c r="I365" s="500" t="s">
        <v>940</v>
      </c>
      <c r="J365" s="494">
        <f>J364+J363+J356+J349</f>
        <v>2920054.61</v>
      </c>
      <c r="K365" s="109"/>
      <c r="L365" s="504"/>
      <c r="M365" s="505"/>
      <c r="N365" s="82"/>
    </row>
    <row r="366" spans="2:14" ht="15" customHeight="1" thickBot="1" x14ac:dyDescent="0.25">
      <c r="B366" s="758"/>
      <c r="D366" s="68"/>
      <c r="E366" s="68"/>
      <c r="F366" s="68"/>
      <c r="G366" s="68"/>
      <c r="H366" s="68"/>
      <c r="I366" s="68"/>
      <c r="J366" s="1"/>
      <c r="K366" s="50"/>
      <c r="L366" s="50"/>
      <c r="M366" s="50"/>
      <c r="N366" s="82"/>
    </row>
    <row r="367" spans="2:14" ht="15" customHeight="1" x14ac:dyDescent="0.2">
      <c r="B367" s="758"/>
      <c r="D367" s="770" t="s">
        <v>208</v>
      </c>
      <c r="E367" s="771"/>
      <c r="F367" s="771"/>
      <c r="G367" s="771"/>
      <c r="H367" s="771"/>
      <c r="I367" s="772"/>
      <c r="J367" s="309" t="s">
        <v>896</v>
      </c>
      <c r="K367" s="309" t="s">
        <v>897</v>
      </c>
      <c r="L367" s="309" t="s">
        <v>898</v>
      </c>
      <c r="M367" s="73" t="s">
        <v>188</v>
      </c>
      <c r="N367" s="82"/>
    </row>
    <row r="368" spans="2:14" ht="15" customHeight="1" x14ac:dyDescent="0.2">
      <c r="B368" s="758"/>
      <c r="D368" s="773"/>
      <c r="E368" s="774"/>
      <c r="F368" s="774"/>
      <c r="G368" s="774"/>
      <c r="H368" s="774"/>
      <c r="I368" s="775"/>
      <c r="J368" s="84" t="s">
        <v>578</v>
      </c>
      <c r="K368" s="54">
        <f t="shared" ref="K368:L371" si="4">K323</f>
        <v>1038225</v>
      </c>
      <c r="L368" s="308">
        <f t="shared" si="4"/>
        <v>1</v>
      </c>
      <c r="M368" s="36">
        <f>K323*L323</f>
        <v>1038225</v>
      </c>
      <c r="N368" s="82"/>
    </row>
    <row r="369" spans="2:14" x14ac:dyDescent="0.2">
      <c r="B369" s="758"/>
      <c r="D369" s="773"/>
      <c r="E369" s="774"/>
      <c r="F369" s="774"/>
      <c r="G369" s="774"/>
      <c r="H369" s="774"/>
      <c r="I369" s="775"/>
      <c r="J369" s="84" t="s">
        <v>579</v>
      </c>
      <c r="K369" s="54">
        <f t="shared" si="4"/>
        <v>129402</v>
      </c>
      <c r="L369" s="308">
        <f t="shared" si="4"/>
        <v>1</v>
      </c>
      <c r="M369" s="36">
        <f>K324</f>
        <v>129402</v>
      </c>
      <c r="N369" s="82"/>
    </row>
    <row r="370" spans="2:14" x14ac:dyDescent="0.2">
      <c r="B370" s="758"/>
      <c r="D370" s="773"/>
      <c r="E370" s="774"/>
      <c r="F370" s="774"/>
      <c r="G370" s="774"/>
      <c r="H370" s="774"/>
      <c r="I370" s="775"/>
      <c r="J370" s="84" t="s">
        <v>580</v>
      </c>
      <c r="K370" s="54">
        <f t="shared" si="4"/>
        <v>36000</v>
      </c>
      <c r="L370" s="308">
        <f t="shared" si="4"/>
        <v>1</v>
      </c>
      <c r="M370" s="36">
        <f>K325</f>
        <v>36000</v>
      </c>
      <c r="N370" s="82"/>
    </row>
    <row r="371" spans="2:14" x14ac:dyDescent="0.2">
      <c r="B371" s="758"/>
      <c r="D371" s="773"/>
      <c r="E371" s="774"/>
      <c r="F371" s="774"/>
      <c r="G371" s="774"/>
      <c r="H371" s="774"/>
      <c r="I371" s="775"/>
      <c r="J371" s="84" t="s">
        <v>581</v>
      </c>
      <c r="K371" s="54">
        <f t="shared" si="4"/>
        <v>64332</v>
      </c>
      <c r="L371" s="308">
        <f t="shared" si="4"/>
        <v>1</v>
      </c>
      <c r="M371" s="36">
        <f>K326</f>
        <v>64332</v>
      </c>
      <c r="N371" s="82"/>
    </row>
    <row r="372" spans="2:14" ht="15" customHeight="1" thickBot="1" x14ac:dyDescent="0.25">
      <c r="B372" s="758"/>
      <c r="D372" s="776"/>
      <c r="E372" s="777"/>
      <c r="F372" s="777"/>
      <c r="G372" s="777"/>
      <c r="H372" s="777"/>
      <c r="I372" s="778"/>
      <c r="J372" s="85"/>
      <c r="K372" s="109"/>
      <c r="L372" s="43" t="s">
        <v>205</v>
      </c>
      <c r="M372" s="310">
        <f>SUM(M368:M371)</f>
        <v>1267959</v>
      </c>
      <c r="N372" s="82"/>
    </row>
    <row r="373" spans="2:14" ht="15" customHeight="1" thickBot="1" x14ac:dyDescent="0.25">
      <c r="B373" s="758"/>
      <c r="N373" s="82"/>
    </row>
    <row r="374" spans="2:14" ht="15" customHeight="1" x14ac:dyDescent="0.2">
      <c r="B374" s="758"/>
      <c r="D374" s="770" t="s">
        <v>662</v>
      </c>
      <c r="E374" s="771"/>
      <c r="F374" s="771"/>
      <c r="G374" s="771"/>
      <c r="H374" s="771"/>
      <c r="I374" s="772"/>
      <c r="J374" s="75" t="s">
        <v>189</v>
      </c>
      <c r="K374" s="75" t="s">
        <v>186</v>
      </c>
      <c r="L374" s="75" t="s">
        <v>187</v>
      </c>
      <c r="M374" s="73" t="s">
        <v>188</v>
      </c>
      <c r="N374" s="82"/>
    </row>
    <row r="375" spans="2:14" ht="15" customHeight="1" x14ac:dyDescent="0.2">
      <c r="B375" s="758"/>
      <c r="D375" s="773"/>
      <c r="E375" s="774"/>
      <c r="F375" s="774"/>
      <c r="G375" s="774"/>
      <c r="H375" s="774"/>
      <c r="I375" s="775"/>
      <c r="J375" s="316" t="s">
        <v>190</v>
      </c>
      <c r="K375" s="54">
        <f t="shared" ref="K375:L387" si="5">K331</f>
        <v>35349</v>
      </c>
      <c r="L375" s="9">
        <f t="shared" si="5"/>
        <v>3</v>
      </c>
      <c r="M375" s="36">
        <f>K375*L375</f>
        <v>106047</v>
      </c>
      <c r="N375" s="82"/>
    </row>
    <row r="376" spans="2:14" ht="15" customHeight="1" x14ac:dyDescent="0.2">
      <c r="B376" s="758"/>
      <c r="D376" s="773"/>
      <c r="E376" s="774"/>
      <c r="F376" s="774"/>
      <c r="G376" s="774"/>
      <c r="H376" s="774"/>
      <c r="I376" s="775"/>
      <c r="J376" s="316" t="s">
        <v>191</v>
      </c>
      <c r="K376" s="54">
        <f t="shared" si="5"/>
        <v>12985</v>
      </c>
      <c r="L376" s="9">
        <f t="shared" si="5"/>
        <v>1</v>
      </c>
      <c r="M376" s="36">
        <f t="shared" ref="M376:M387" si="6">K376*L376</f>
        <v>12985</v>
      </c>
      <c r="N376" s="82"/>
    </row>
    <row r="377" spans="2:14" ht="15" customHeight="1" x14ac:dyDescent="0.2">
      <c r="B377" s="758"/>
      <c r="D377" s="773"/>
      <c r="E377" s="774"/>
      <c r="F377" s="774"/>
      <c r="G377" s="774"/>
      <c r="H377" s="774"/>
      <c r="I377" s="775"/>
      <c r="J377" s="316" t="s">
        <v>192</v>
      </c>
      <c r="K377" s="54">
        <f t="shared" si="5"/>
        <v>43415</v>
      </c>
      <c r="L377" s="9">
        <f t="shared" si="5"/>
        <v>1</v>
      </c>
      <c r="M377" s="36">
        <f t="shared" si="6"/>
        <v>43415</v>
      </c>
      <c r="N377" s="82"/>
    </row>
    <row r="378" spans="2:14" ht="15" customHeight="1" x14ac:dyDescent="0.2">
      <c r="B378" s="758"/>
      <c r="D378" s="773"/>
      <c r="E378" s="774"/>
      <c r="F378" s="774"/>
      <c r="G378" s="774"/>
      <c r="H378" s="774"/>
      <c r="I378" s="775"/>
      <c r="J378" s="316" t="s">
        <v>195</v>
      </c>
      <c r="K378" s="54">
        <f t="shared" si="5"/>
        <v>1050</v>
      </c>
      <c r="L378" s="9">
        <f t="shared" si="5"/>
        <v>2</v>
      </c>
      <c r="M378" s="36">
        <f t="shared" si="6"/>
        <v>2100</v>
      </c>
      <c r="N378" s="82"/>
    </row>
    <row r="379" spans="2:14" ht="15" customHeight="1" x14ac:dyDescent="0.2">
      <c r="B379" s="758"/>
      <c r="D379" s="773"/>
      <c r="E379" s="774"/>
      <c r="F379" s="774"/>
      <c r="G379" s="774"/>
      <c r="H379" s="774"/>
      <c r="I379" s="775"/>
      <c r="J379" s="316" t="s">
        <v>193</v>
      </c>
      <c r="K379" s="54">
        <f t="shared" si="5"/>
        <v>13766</v>
      </c>
      <c r="L379" s="9">
        <f t="shared" si="5"/>
        <v>3</v>
      </c>
      <c r="M379" s="36">
        <f t="shared" si="6"/>
        <v>41298</v>
      </c>
      <c r="N379" s="82"/>
    </row>
    <row r="380" spans="2:14" ht="15" customHeight="1" x14ac:dyDescent="0.2">
      <c r="B380" s="758"/>
      <c r="D380" s="773"/>
      <c r="E380" s="774"/>
      <c r="F380" s="774"/>
      <c r="G380" s="774"/>
      <c r="H380" s="774"/>
      <c r="I380" s="775"/>
      <c r="J380" s="316" t="s">
        <v>194</v>
      </c>
      <c r="K380" s="54">
        <f t="shared" si="5"/>
        <v>3495</v>
      </c>
      <c r="L380" s="9">
        <f t="shared" si="5"/>
        <v>6</v>
      </c>
      <c r="M380" s="36">
        <f t="shared" si="6"/>
        <v>20970</v>
      </c>
      <c r="N380" s="82"/>
    </row>
    <row r="381" spans="2:14" ht="15" customHeight="1" x14ac:dyDescent="0.2">
      <c r="B381" s="758"/>
      <c r="D381" s="773"/>
      <c r="E381" s="774"/>
      <c r="F381" s="774"/>
      <c r="G381" s="774"/>
      <c r="H381" s="774"/>
      <c r="I381" s="775"/>
      <c r="J381" s="316" t="s">
        <v>196</v>
      </c>
      <c r="K381" s="54">
        <f t="shared" si="5"/>
        <v>14429</v>
      </c>
      <c r="L381" s="9">
        <f t="shared" si="5"/>
        <v>1</v>
      </c>
      <c r="M381" s="36">
        <f t="shared" si="6"/>
        <v>14429</v>
      </c>
      <c r="N381" s="82"/>
    </row>
    <row r="382" spans="2:14" ht="15" customHeight="1" x14ac:dyDescent="0.2">
      <c r="B382" s="758"/>
      <c r="D382" s="773"/>
      <c r="E382" s="774"/>
      <c r="F382" s="774"/>
      <c r="G382" s="774"/>
      <c r="H382" s="774"/>
      <c r="I382" s="775"/>
      <c r="J382" s="316" t="s">
        <v>201</v>
      </c>
      <c r="K382" s="54">
        <f t="shared" si="5"/>
        <v>1190</v>
      </c>
      <c r="L382" s="9">
        <f t="shared" si="5"/>
        <v>2</v>
      </c>
      <c r="M382" s="36">
        <f t="shared" si="6"/>
        <v>2380</v>
      </c>
      <c r="N382" s="82"/>
    </row>
    <row r="383" spans="2:14" ht="15" customHeight="1" x14ac:dyDescent="0.2">
      <c r="B383" s="758"/>
      <c r="D383" s="773"/>
      <c r="E383" s="774"/>
      <c r="F383" s="774"/>
      <c r="G383" s="774"/>
      <c r="H383" s="774"/>
      <c r="I383" s="775"/>
      <c r="J383" s="316" t="s">
        <v>202</v>
      </c>
      <c r="K383" s="54">
        <f t="shared" si="5"/>
        <v>1860</v>
      </c>
      <c r="L383" s="9">
        <f t="shared" si="5"/>
        <v>1</v>
      </c>
      <c r="M383" s="36">
        <f t="shared" si="6"/>
        <v>1860</v>
      </c>
      <c r="N383" s="82"/>
    </row>
    <row r="384" spans="2:14" ht="15" customHeight="1" x14ac:dyDescent="0.2">
      <c r="B384" s="758"/>
      <c r="D384" s="773"/>
      <c r="E384" s="774"/>
      <c r="F384" s="774"/>
      <c r="G384" s="774"/>
      <c r="H384" s="774"/>
      <c r="I384" s="775"/>
      <c r="J384" s="316" t="s">
        <v>197</v>
      </c>
      <c r="K384" s="54">
        <f t="shared" si="5"/>
        <v>33435</v>
      </c>
      <c r="L384" s="9">
        <f t="shared" si="5"/>
        <v>3</v>
      </c>
      <c r="M384" s="36">
        <f t="shared" si="6"/>
        <v>100305</v>
      </c>
      <c r="N384" s="82"/>
    </row>
    <row r="385" spans="2:14" ht="15" customHeight="1" x14ac:dyDescent="0.2">
      <c r="B385" s="758"/>
      <c r="D385" s="773"/>
      <c r="E385" s="774"/>
      <c r="F385" s="774"/>
      <c r="G385" s="774"/>
      <c r="H385" s="774"/>
      <c r="I385" s="775"/>
      <c r="J385" s="316" t="s">
        <v>198</v>
      </c>
      <c r="K385" s="54">
        <f t="shared" si="5"/>
        <v>6536</v>
      </c>
      <c r="L385" s="9">
        <f t="shared" si="5"/>
        <v>2</v>
      </c>
      <c r="M385" s="36">
        <f t="shared" si="6"/>
        <v>13072</v>
      </c>
      <c r="N385" s="82"/>
    </row>
    <row r="386" spans="2:14" ht="15" customHeight="1" x14ac:dyDescent="0.2">
      <c r="B386" s="758"/>
      <c r="D386" s="773"/>
      <c r="E386" s="774"/>
      <c r="F386" s="774"/>
      <c r="G386" s="774"/>
      <c r="H386" s="774"/>
      <c r="I386" s="775"/>
      <c r="J386" s="316" t="s">
        <v>199</v>
      </c>
      <c r="K386" s="54">
        <f t="shared" si="5"/>
        <v>31029</v>
      </c>
      <c r="L386" s="9">
        <f t="shared" si="5"/>
        <v>2</v>
      </c>
      <c r="M386" s="36">
        <f t="shared" si="6"/>
        <v>62058</v>
      </c>
      <c r="N386" s="82"/>
    </row>
    <row r="387" spans="2:14" ht="15" customHeight="1" x14ac:dyDescent="0.2">
      <c r="B387" s="758"/>
      <c r="D387" s="773"/>
      <c r="E387" s="774"/>
      <c r="F387" s="774"/>
      <c r="G387" s="774"/>
      <c r="H387" s="774"/>
      <c r="I387" s="775"/>
      <c r="J387" s="316" t="s">
        <v>200</v>
      </c>
      <c r="K387" s="54">
        <f t="shared" si="5"/>
        <v>22098</v>
      </c>
      <c r="L387" s="9">
        <f t="shared" si="5"/>
        <v>2</v>
      </c>
      <c r="M387" s="36">
        <f t="shared" si="6"/>
        <v>44196</v>
      </c>
      <c r="N387" s="82"/>
    </row>
    <row r="388" spans="2:14" ht="15" customHeight="1" thickBot="1" x14ac:dyDescent="0.25">
      <c r="B388" s="759"/>
      <c r="D388" s="776"/>
      <c r="E388" s="777"/>
      <c r="F388" s="777"/>
      <c r="G388" s="777"/>
      <c r="H388" s="777"/>
      <c r="I388" s="778"/>
      <c r="J388" s="85"/>
      <c r="K388" s="109"/>
      <c r="L388" s="93" t="s">
        <v>206</v>
      </c>
      <c r="M388" s="86">
        <f>SUM(M375:M387)</f>
        <v>465115</v>
      </c>
      <c r="N388" s="82"/>
    </row>
    <row r="389" spans="2:14" ht="15" customHeight="1" x14ac:dyDescent="0.2">
      <c r="B389" s="12"/>
      <c r="D389" s="68"/>
      <c r="E389" s="68"/>
      <c r="F389" s="68"/>
      <c r="G389" s="68"/>
      <c r="H389" s="68"/>
      <c r="I389" s="68"/>
      <c r="J389" s="1"/>
      <c r="K389" s="50"/>
      <c r="L389" s="50"/>
      <c r="M389" s="50"/>
      <c r="N389" s="82"/>
    </row>
    <row r="390" spans="2:14" ht="15" customHeight="1" x14ac:dyDescent="0.2">
      <c r="B390" s="12"/>
      <c r="D390" s="68"/>
      <c r="E390" s="68"/>
      <c r="F390" s="68"/>
      <c r="G390" s="68"/>
      <c r="H390" s="68"/>
      <c r="I390" s="68"/>
      <c r="J390" s="1"/>
      <c r="K390" s="50"/>
      <c r="L390" s="50"/>
      <c r="M390" s="50"/>
      <c r="N390" s="82"/>
    </row>
    <row r="391" spans="2:14" ht="15" customHeight="1" thickBot="1" x14ac:dyDescent="0.25">
      <c r="B391" s="12"/>
      <c r="D391" s="68"/>
      <c r="E391" s="1"/>
      <c r="F391" s="50"/>
      <c r="G391" s="50"/>
      <c r="H391" s="82"/>
    </row>
    <row r="392" spans="2:14" ht="19" customHeight="1" x14ac:dyDescent="0.2">
      <c r="B392" s="757" t="s">
        <v>26</v>
      </c>
      <c r="D392" s="831" t="s">
        <v>941</v>
      </c>
      <c r="E392" s="832"/>
      <c r="F392" s="832"/>
      <c r="G392" s="832"/>
      <c r="H392" s="833"/>
      <c r="J392" s="852" t="s">
        <v>942</v>
      </c>
      <c r="K392" s="853"/>
      <c r="L392" s="854"/>
    </row>
    <row r="393" spans="2:14" ht="19" customHeight="1" thickBot="1" x14ac:dyDescent="0.25">
      <c r="B393" s="758"/>
      <c r="D393" s="834" t="s">
        <v>524</v>
      </c>
      <c r="E393" s="835"/>
      <c r="F393" s="835"/>
      <c r="G393" s="835"/>
      <c r="H393" s="836"/>
      <c r="J393" s="834" t="s">
        <v>1010</v>
      </c>
      <c r="K393" s="835"/>
      <c r="L393" s="836"/>
    </row>
    <row r="394" spans="2:14" ht="20" x14ac:dyDescent="0.2">
      <c r="B394" s="758"/>
      <c r="D394" s="837" t="s">
        <v>62</v>
      </c>
      <c r="E394" s="838"/>
      <c r="F394" s="838"/>
      <c r="G394" s="838"/>
      <c r="H394" s="195" t="s">
        <v>212</v>
      </c>
      <c r="J394" s="855" t="s">
        <v>62</v>
      </c>
      <c r="K394" s="856"/>
      <c r="L394" s="492" t="s">
        <v>212</v>
      </c>
    </row>
    <row r="395" spans="2:14" ht="19" x14ac:dyDescent="0.2">
      <c r="B395" s="758"/>
      <c r="D395" s="839" t="s">
        <v>1011</v>
      </c>
      <c r="E395" s="840"/>
      <c r="F395" s="840"/>
      <c r="G395" s="840"/>
      <c r="H395" s="370">
        <f>J349</f>
        <v>37946.61</v>
      </c>
      <c r="J395" s="839" t="s">
        <v>927</v>
      </c>
      <c r="K395" s="840"/>
      <c r="L395" s="510">
        <f>M353+J363+J364+M360</f>
        <v>10900726.57720915</v>
      </c>
    </row>
    <row r="396" spans="2:14" ht="19" x14ac:dyDescent="0.2">
      <c r="B396" s="758"/>
      <c r="D396" s="841" t="s">
        <v>63</v>
      </c>
      <c r="E396" s="842"/>
      <c r="F396" s="842"/>
      <c r="G396" s="842"/>
      <c r="H396" s="371">
        <f>J349+J363+J364+M372+J356</f>
        <v>4188013.61</v>
      </c>
      <c r="J396" s="841" t="s">
        <v>929</v>
      </c>
      <c r="K396" s="842"/>
      <c r="L396" s="190">
        <f>M354+J363+J364+M361</f>
        <v>6646692.4284799211</v>
      </c>
    </row>
    <row r="397" spans="2:14" ht="20" thickBot="1" x14ac:dyDescent="0.25">
      <c r="B397" s="759"/>
      <c r="D397" s="820" t="s">
        <v>64</v>
      </c>
      <c r="E397" s="821"/>
      <c r="F397" s="821"/>
      <c r="G397" s="821"/>
      <c r="H397" s="372">
        <f>J349+J363+J364+M388+J356</f>
        <v>3385169.61</v>
      </c>
      <c r="J397" s="839" t="s">
        <v>930</v>
      </c>
      <c r="K397" s="840"/>
      <c r="L397" s="191">
        <f>M355+J363+J364+M362</f>
        <v>8639773.6701253355</v>
      </c>
    </row>
    <row r="398" spans="2:14" ht="20" customHeight="1" x14ac:dyDescent="0.2">
      <c r="B398" s="12"/>
      <c r="J398" s="839" t="s">
        <v>923</v>
      </c>
      <c r="K398" s="840"/>
      <c r="L398" s="511">
        <f>M350+J363+J364+M357</f>
        <v>16818954.731087908</v>
      </c>
    </row>
    <row r="399" spans="2:14" ht="19" x14ac:dyDescent="0.2">
      <c r="J399" s="841" t="s">
        <v>924</v>
      </c>
      <c r="K399" s="842"/>
      <c r="L399" s="190">
        <f>M351+J363+J364+M358</f>
        <v>9416510.7696256544</v>
      </c>
    </row>
    <row r="400" spans="2:14" ht="20" thickBot="1" x14ac:dyDescent="0.25">
      <c r="J400" s="820" t="s">
        <v>926</v>
      </c>
      <c r="K400" s="821"/>
      <c r="L400" s="319">
        <f>M352+J363+J364+M359</f>
        <v>12896085.074725421</v>
      </c>
    </row>
    <row r="401" spans="4:12" ht="15" customHeight="1" x14ac:dyDescent="0.2"/>
    <row r="402" spans="4:12" ht="16" customHeight="1" x14ac:dyDescent="0.2"/>
    <row r="403" spans="4:12" ht="15" customHeight="1" x14ac:dyDescent="0.2"/>
    <row r="404" spans="4:12" ht="19" x14ac:dyDescent="0.25">
      <c r="D404" s="843"/>
      <c r="E404" s="843"/>
      <c r="F404" s="843"/>
      <c r="G404" s="843"/>
      <c r="H404" s="90"/>
      <c r="L404" s="169"/>
    </row>
    <row r="405" spans="4:12" ht="19" x14ac:dyDescent="0.25">
      <c r="D405" s="843"/>
      <c r="E405" s="843"/>
      <c r="F405" s="843"/>
      <c r="G405" s="843"/>
      <c r="H405" s="90"/>
      <c r="L405" s="169"/>
    </row>
    <row r="406" spans="4:12" ht="19" x14ac:dyDescent="0.25">
      <c r="D406" s="843"/>
      <c r="E406" s="843"/>
      <c r="F406" s="843"/>
      <c r="G406" s="187"/>
      <c r="H406" s="90"/>
      <c r="L406" s="187"/>
    </row>
    <row r="407" spans="4:12" ht="19" x14ac:dyDescent="0.25">
      <c r="D407" s="844"/>
      <c r="E407" s="844"/>
      <c r="F407" s="844"/>
      <c r="G407" s="487"/>
      <c r="H407" s="90"/>
      <c r="L407" s="487"/>
    </row>
    <row r="408" spans="4:12" ht="19" x14ac:dyDescent="0.25">
      <c r="D408" s="843"/>
      <c r="E408" s="843"/>
      <c r="F408" s="843"/>
      <c r="G408" s="488"/>
      <c r="H408" s="90"/>
      <c r="L408" s="488"/>
    </row>
    <row r="409" spans="4:12" ht="19" x14ac:dyDescent="0.25">
      <c r="D409" s="844"/>
      <c r="E409" s="844"/>
      <c r="F409" s="844"/>
      <c r="G409" s="488"/>
      <c r="H409" s="90"/>
      <c r="L409" s="488"/>
    </row>
  </sheetData>
  <sheetProtection algorithmName="SHA-512" hashValue="vJGmfUkkZtbfJ5aFvrn3t2t/iaXFIE8f/r7GQKOiJQv0eCQLxhsq4poDh/SwuAV9wjTyXorjvvUgjX+kyX1liw==" saltValue="oRnhqWPnK0d5jK4HRME52Q==" spinCount="100000" sheet="1" objects="1" scenarios="1"/>
  <mergeCells count="354">
    <mergeCell ref="D9:G9"/>
    <mergeCell ref="J393:L393"/>
    <mergeCell ref="J395:K395"/>
    <mergeCell ref="J396:K396"/>
    <mergeCell ref="J397:K397"/>
    <mergeCell ref="J398:K398"/>
    <mergeCell ref="J399:K399"/>
    <mergeCell ref="J392:L392"/>
    <mergeCell ref="J394:K394"/>
    <mergeCell ref="I73:J73"/>
    <mergeCell ref="H74:J74"/>
    <mergeCell ref="I75:J75"/>
    <mergeCell ref="I76:J76"/>
    <mergeCell ref="G95:J95"/>
    <mergeCell ref="G96:J96"/>
    <mergeCell ref="G97:J97"/>
    <mergeCell ref="G99:J99"/>
    <mergeCell ref="G100:J100"/>
    <mergeCell ref="G101:J101"/>
    <mergeCell ref="I83:J83"/>
    <mergeCell ref="I84:J84"/>
    <mergeCell ref="G85:J85"/>
    <mergeCell ref="G86:J86"/>
    <mergeCell ref="G87:J87"/>
    <mergeCell ref="D404:G404"/>
    <mergeCell ref="D405:G405"/>
    <mergeCell ref="D406:F406"/>
    <mergeCell ref="D407:F407"/>
    <mergeCell ref="D408:F408"/>
    <mergeCell ref="D409:F409"/>
    <mergeCell ref="D12:M12"/>
    <mergeCell ref="D11:M11"/>
    <mergeCell ref="J2:K2"/>
    <mergeCell ref="H70:J70"/>
    <mergeCell ref="H59:J59"/>
    <mergeCell ref="H60:J60"/>
    <mergeCell ref="G61:J61"/>
    <mergeCell ref="H62:J62"/>
    <mergeCell ref="H63:J63"/>
    <mergeCell ref="H64:J64"/>
    <mergeCell ref="I77:J77"/>
    <mergeCell ref="I78:J78"/>
    <mergeCell ref="H79:J79"/>
    <mergeCell ref="I80:J80"/>
    <mergeCell ref="I81:J81"/>
    <mergeCell ref="I82:J82"/>
    <mergeCell ref="I71:J71"/>
    <mergeCell ref="I72:J72"/>
    <mergeCell ref="B2:B343"/>
    <mergeCell ref="J400:K400"/>
    <mergeCell ref="D348:H365"/>
    <mergeCell ref="D392:H392"/>
    <mergeCell ref="D393:H393"/>
    <mergeCell ref="D394:G394"/>
    <mergeCell ref="D395:G395"/>
    <mergeCell ref="D396:G396"/>
    <mergeCell ref="D397:G397"/>
    <mergeCell ref="H55:J55"/>
    <mergeCell ref="G56:J56"/>
    <mergeCell ref="H57:J57"/>
    <mergeCell ref="H58:J58"/>
    <mergeCell ref="H47:J47"/>
    <mergeCell ref="H48:J48"/>
    <mergeCell ref="G49:J49"/>
    <mergeCell ref="H50:J50"/>
    <mergeCell ref="H51:J51"/>
    <mergeCell ref="H52:J52"/>
    <mergeCell ref="H65:J65"/>
    <mergeCell ref="H66:J66"/>
    <mergeCell ref="H67:J67"/>
    <mergeCell ref="G68:J68"/>
    <mergeCell ref="G69:J69"/>
    <mergeCell ref="W6:Y6"/>
    <mergeCell ref="W12:Y12"/>
    <mergeCell ref="D8:G8"/>
    <mergeCell ref="J321:L321"/>
    <mergeCell ref="D5:G5"/>
    <mergeCell ref="D6:G6"/>
    <mergeCell ref="D7:G7"/>
    <mergeCell ref="D3:H3"/>
    <mergeCell ref="D4:G4"/>
    <mergeCell ref="D14:N15"/>
    <mergeCell ref="D17:J17"/>
    <mergeCell ref="E18:J18"/>
    <mergeCell ref="F19:J19"/>
    <mergeCell ref="G32:J32"/>
    <mergeCell ref="H41:J41"/>
    <mergeCell ref="I42:J42"/>
    <mergeCell ref="I43:J43"/>
    <mergeCell ref="H44:J44"/>
    <mergeCell ref="H45:J45"/>
    <mergeCell ref="H46:J46"/>
    <mergeCell ref="H37:J37"/>
    <mergeCell ref="I38:J38"/>
    <mergeCell ref="I39:J39"/>
    <mergeCell ref="I40:J40"/>
    <mergeCell ref="R328:W328"/>
    <mergeCell ref="V330:W330"/>
    <mergeCell ref="R330:U330"/>
    <mergeCell ref="R331:U331"/>
    <mergeCell ref="R335:U335"/>
    <mergeCell ref="R336:U336"/>
    <mergeCell ref="G20:J20"/>
    <mergeCell ref="H21:J21"/>
    <mergeCell ref="H22:J22"/>
    <mergeCell ref="H23:J23"/>
    <mergeCell ref="I25:J25"/>
    <mergeCell ref="I26:J26"/>
    <mergeCell ref="H24:J24"/>
    <mergeCell ref="G33:J33"/>
    <mergeCell ref="F34:J34"/>
    <mergeCell ref="G35:J35"/>
    <mergeCell ref="H36:J36"/>
    <mergeCell ref="G27:J27"/>
    <mergeCell ref="G28:J28"/>
    <mergeCell ref="H29:J29"/>
    <mergeCell ref="H30:J30"/>
    <mergeCell ref="H31:J31"/>
    <mergeCell ref="H53:J53"/>
    <mergeCell ref="H54:J54"/>
    <mergeCell ref="F94:J94"/>
    <mergeCell ref="G88:J88"/>
    <mergeCell ref="H89:J89"/>
    <mergeCell ref="H90:J90"/>
    <mergeCell ref="H91:J91"/>
    <mergeCell ref="H92:J92"/>
    <mergeCell ref="H93:J93"/>
    <mergeCell ref="H108:J108"/>
    <mergeCell ref="H109:J109"/>
    <mergeCell ref="H110:J110"/>
    <mergeCell ref="H111:J111"/>
    <mergeCell ref="G112:J112"/>
    <mergeCell ref="G113:J113"/>
    <mergeCell ref="H102:J102"/>
    <mergeCell ref="H103:J103"/>
    <mergeCell ref="H104:J104"/>
    <mergeCell ref="H105:J105"/>
    <mergeCell ref="H106:J106"/>
    <mergeCell ref="G107:J107"/>
    <mergeCell ref="G120:J120"/>
    <mergeCell ref="H121:J121"/>
    <mergeCell ref="H122:J122"/>
    <mergeCell ref="G123:J123"/>
    <mergeCell ref="G124:J124"/>
    <mergeCell ref="H125:J125"/>
    <mergeCell ref="E114:J114"/>
    <mergeCell ref="F115:J115"/>
    <mergeCell ref="G116:J116"/>
    <mergeCell ref="H117:J117"/>
    <mergeCell ref="H118:J118"/>
    <mergeCell ref="H119:J119"/>
    <mergeCell ref="H132:J132"/>
    <mergeCell ref="H134:J134"/>
    <mergeCell ref="H136:J136"/>
    <mergeCell ref="H135:J135"/>
    <mergeCell ref="G133:J133"/>
    <mergeCell ref="G137:J137"/>
    <mergeCell ref="H126:J126"/>
    <mergeCell ref="G127:J127"/>
    <mergeCell ref="H128:J128"/>
    <mergeCell ref="H129:J129"/>
    <mergeCell ref="I130:J130"/>
    <mergeCell ref="I131:J131"/>
    <mergeCell ref="H144:J144"/>
    <mergeCell ref="H145:J145"/>
    <mergeCell ref="H146:J146"/>
    <mergeCell ref="H147:J147"/>
    <mergeCell ref="F148:J148"/>
    <mergeCell ref="G149:J149"/>
    <mergeCell ref="H138:J138"/>
    <mergeCell ref="H139:J139"/>
    <mergeCell ref="H140:J140"/>
    <mergeCell ref="H141:J141"/>
    <mergeCell ref="H142:J142"/>
    <mergeCell ref="G143:J143"/>
    <mergeCell ref="G156:J156"/>
    <mergeCell ref="H157:J157"/>
    <mergeCell ref="H158:J158"/>
    <mergeCell ref="F159:J159"/>
    <mergeCell ref="G160:J160"/>
    <mergeCell ref="H161:J161"/>
    <mergeCell ref="G150:J150"/>
    <mergeCell ref="G151:J151"/>
    <mergeCell ref="H152:J152"/>
    <mergeCell ref="H153:J153"/>
    <mergeCell ref="H154:J154"/>
    <mergeCell ref="G155:J155"/>
    <mergeCell ref="I168:J168"/>
    <mergeCell ref="I169:J169"/>
    <mergeCell ref="H170:J170"/>
    <mergeCell ref="H171:J171"/>
    <mergeCell ref="G172:J172"/>
    <mergeCell ref="H173:J173"/>
    <mergeCell ref="I162:J162"/>
    <mergeCell ref="I163:J163"/>
    <mergeCell ref="H164:J164"/>
    <mergeCell ref="I165:J165"/>
    <mergeCell ref="I166:J166"/>
    <mergeCell ref="I167:J167"/>
    <mergeCell ref="H180:J180"/>
    <mergeCell ref="H181:J181"/>
    <mergeCell ref="G182:J182"/>
    <mergeCell ref="H183:J183"/>
    <mergeCell ref="H184:J184"/>
    <mergeCell ref="H185:J185"/>
    <mergeCell ref="H174:J174"/>
    <mergeCell ref="I175:J175"/>
    <mergeCell ref="I176:J176"/>
    <mergeCell ref="I177:J177"/>
    <mergeCell ref="I178:J178"/>
    <mergeCell ref="I179:J179"/>
    <mergeCell ref="I192:J192"/>
    <mergeCell ref="I193:J193"/>
    <mergeCell ref="I194:J194"/>
    <mergeCell ref="I195:J195"/>
    <mergeCell ref="I196:J196"/>
    <mergeCell ref="I197:J197"/>
    <mergeCell ref="H186:J186"/>
    <mergeCell ref="H187:J187"/>
    <mergeCell ref="H188:J188"/>
    <mergeCell ref="G189:J189"/>
    <mergeCell ref="H190:J190"/>
    <mergeCell ref="I191:J191"/>
    <mergeCell ref="I204:J204"/>
    <mergeCell ref="H205:J205"/>
    <mergeCell ref="I206:J206"/>
    <mergeCell ref="I207:J207"/>
    <mergeCell ref="I208:J208"/>
    <mergeCell ref="I209:J209"/>
    <mergeCell ref="H198:J198"/>
    <mergeCell ref="I199:J199"/>
    <mergeCell ref="I200:J200"/>
    <mergeCell ref="I201:J201"/>
    <mergeCell ref="I202:J202"/>
    <mergeCell ref="I203:J203"/>
    <mergeCell ref="H216:J216"/>
    <mergeCell ref="I217:J217"/>
    <mergeCell ref="I218:J218"/>
    <mergeCell ref="I219:J219"/>
    <mergeCell ref="I220:J220"/>
    <mergeCell ref="I221:J221"/>
    <mergeCell ref="I210:J210"/>
    <mergeCell ref="I211:J211"/>
    <mergeCell ref="I212:J212"/>
    <mergeCell ref="I213:J213"/>
    <mergeCell ref="I214:J214"/>
    <mergeCell ref="I215:J215"/>
    <mergeCell ref="G228:J228"/>
    <mergeCell ref="H229:J229"/>
    <mergeCell ref="H230:J230"/>
    <mergeCell ref="I231:J231"/>
    <mergeCell ref="I232:J232"/>
    <mergeCell ref="H233:J233"/>
    <mergeCell ref="I222:J222"/>
    <mergeCell ref="I223:J223"/>
    <mergeCell ref="I224:J224"/>
    <mergeCell ref="I225:J225"/>
    <mergeCell ref="I226:J226"/>
    <mergeCell ref="I227:J227"/>
    <mergeCell ref="I240:J240"/>
    <mergeCell ref="I241:J241"/>
    <mergeCell ref="H242:J242"/>
    <mergeCell ref="I243:J243"/>
    <mergeCell ref="I244:J244"/>
    <mergeCell ref="I245:J245"/>
    <mergeCell ref="H234:J234"/>
    <mergeCell ref="I235:J235"/>
    <mergeCell ref="I236:J236"/>
    <mergeCell ref="I237:J237"/>
    <mergeCell ref="I238:J238"/>
    <mergeCell ref="I239:J239"/>
    <mergeCell ref="H252:J252"/>
    <mergeCell ref="H253:J253"/>
    <mergeCell ref="I254:J254"/>
    <mergeCell ref="I255:J255"/>
    <mergeCell ref="I256:J256"/>
    <mergeCell ref="H257:J257"/>
    <mergeCell ref="I246:J246"/>
    <mergeCell ref="H247:J247"/>
    <mergeCell ref="H248:J248"/>
    <mergeCell ref="G249:J249"/>
    <mergeCell ref="H250:J250"/>
    <mergeCell ref="H251:J251"/>
    <mergeCell ref="H264:J264"/>
    <mergeCell ref="H265:J265"/>
    <mergeCell ref="G266:J266"/>
    <mergeCell ref="H269:J269"/>
    <mergeCell ref="H270:J270"/>
    <mergeCell ref="G267:J267"/>
    <mergeCell ref="G268:J268"/>
    <mergeCell ref="F258:J258"/>
    <mergeCell ref="F259:J259"/>
    <mergeCell ref="G260:J260"/>
    <mergeCell ref="H261:J261"/>
    <mergeCell ref="H262:J262"/>
    <mergeCell ref="H263:J263"/>
    <mergeCell ref="H279:J279"/>
    <mergeCell ref="H280:J280"/>
    <mergeCell ref="G281:J281"/>
    <mergeCell ref="H282:J282"/>
    <mergeCell ref="H271:J271"/>
    <mergeCell ref="F272:J272"/>
    <mergeCell ref="G273:J273"/>
    <mergeCell ref="H274:J274"/>
    <mergeCell ref="H275:J275"/>
    <mergeCell ref="H276:J276"/>
    <mergeCell ref="Y328:Z328"/>
    <mergeCell ref="I298:J298"/>
    <mergeCell ref="G299:J299"/>
    <mergeCell ref="H300:J300"/>
    <mergeCell ref="I289:J289"/>
    <mergeCell ref="I290:J290"/>
    <mergeCell ref="I291:J291"/>
    <mergeCell ref="I292:J292"/>
    <mergeCell ref="H293:J293"/>
    <mergeCell ref="I294:J294"/>
    <mergeCell ref="E311:J311"/>
    <mergeCell ref="F314:J314"/>
    <mergeCell ref="F315:J315"/>
    <mergeCell ref="G316:J316"/>
    <mergeCell ref="G317:J317"/>
    <mergeCell ref="G318:J318"/>
    <mergeCell ref="G309:J309"/>
    <mergeCell ref="G310:J310"/>
    <mergeCell ref="F312:J312"/>
    <mergeCell ref="F313:J313"/>
    <mergeCell ref="H301:J301"/>
    <mergeCell ref="H302:J302"/>
    <mergeCell ref="G303:J303"/>
    <mergeCell ref="F304:J304"/>
    <mergeCell ref="B392:B397"/>
    <mergeCell ref="J329:L329"/>
    <mergeCell ref="B347:B388"/>
    <mergeCell ref="D16:J16"/>
    <mergeCell ref="G307:J307"/>
    <mergeCell ref="G308:J308"/>
    <mergeCell ref="D319:J319"/>
    <mergeCell ref="I283:J283"/>
    <mergeCell ref="I284:J284"/>
    <mergeCell ref="I285:J285"/>
    <mergeCell ref="I286:J286"/>
    <mergeCell ref="H287:J287"/>
    <mergeCell ref="I288:J288"/>
    <mergeCell ref="D374:I388"/>
    <mergeCell ref="G98:J98"/>
    <mergeCell ref="D367:I372"/>
    <mergeCell ref="D347:M347"/>
    <mergeCell ref="G305:J305"/>
    <mergeCell ref="G306:J306"/>
    <mergeCell ref="I295:J295"/>
    <mergeCell ref="H296:J296"/>
    <mergeCell ref="I297:J297"/>
    <mergeCell ref="H277:J277"/>
    <mergeCell ref="G278:J278"/>
  </mergeCells>
  <hyperlinks>
    <hyperlink ref="N49" r:id="rId1" xr:uid="{53023080-759F-FC47-B279-618B62512C4B}"/>
    <hyperlink ref="N89" r:id="rId2" xr:uid="{B0320C62-62C6-9C46-8040-BB50243F79D0}"/>
    <hyperlink ref="N91" r:id="rId3" xr:uid="{BBCB1724-A266-5042-8FBB-95FE3311DE3E}"/>
    <hyperlink ref="N90" r:id="rId4" xr:uid="{644C45AD-1CCC-A24D-8FBD-433DCD6079BC}"/>
    <hyperlink ref="N61" r:id="rId5" xr:uid="{8A8053F5-E104-E241-8E19-35E5603459DE}"/>
    <hyperlink ref="N85" r:id="rId6" xr:uid="{540DC521-510A-F940-8BF4-224F5AB4FDA2}"/>
    <hyperlink ref="N95" r:id="rId7" xr:uid="{98E39704-8E2D-8449-9006-67B0561B12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6BFD5-C08C-F841-B9EB-4A81E179E8BF}">
  <dimension ref="B1:AC182"/>
  <sheetViews>
    <sheetView topLeftCell="A66" zoomScaleNormal="100" workbookViewId="0">
      <selection activeCell="K111" sqref="K111"/>
    </sheetView>
  </sheetViews>
  <sheetFormatPr baseColWidth="10" defaultColWidth="8.83203125" defaultRowHeight="15" x14ac:dyDescent="0.2"/>
  <cols>
    <col min="1" max="1" width="5.83203125" style="1" customWidth="1"/>
    <col min="2" max="2" width="8.83203125" style="1"/>
    <col min="3" max="3" width="5.6640625" style="1" customWidth="1"/>
    <col min="4" max="4" width="37.5" style="1" bestFit="1" customWidth="1"/>
    <col min="5" max="5" width="34.83203125" style="1" bestFit="1" customWidth="1"/>
    <col min="6" max="6" width="23.83203125" style="1" bestFit="1" customWidth="1"/>
    <col min="7" max="7" width="34.33203125" style="1" bestFit="1" customWidth="1"/>
    <col min="8" max="8" width="13.1640625" style="1" bestFit="1" customWidth="1"/>
    <col min="9" max="9" width="27.1640625" style="1" customWidth="1"/>
    <col min="10" max="10" width="27.5" style="1" customWidth="1"/>
    <col min="11" max="11" width="26.1640625" style="1" customWidth="1"/>
    <col min="12" max="12" width="23.1640625" style="1" customWidth="1"/>
    <col min="13" max="13" width="20.33203125" style="1" customWidth="1"/>
    <col min="14" max="14" width="36.6640625" style="1" bestFit="1" customWidth="1"/>
    <col min="15" max="15" width="12.33203125" style="1" bestFit="1" customWidth="1"/>
    <col min="16" max="16" width="37" style="1" bestFit="1" customWidth="1"/>
    <col min="17" max="17" width="22.1640625" style="1" bestFit="1" customWidth="1"/>
    <col min="18" max="18" width="23.83203125" style="1" bestFit="1" customWidth="1"/>
    <col min="19" max="19" width="31" style="1" bestFit="1" customWidth="1"/>
    <col min="20" max="20" width="21.5" style="1" bestFit="1" customWidth="1"/>
    <col min="21" max="21" width="11.6640625" style="1" customWidth="1"/>
    <col min="22" max="22" width="20.5" style="1" customWidth="1"/>
    <col min="23" max="23" width="35.1640625" style="1" bestFit="1" customWidth="1"/>
    <col min="24" max="24" width="12.33203125" style="1" bestFit="1" customWidth="1"/>
    <col min="25" max="25" width="12.83203125" style="1" customWidth="1"/>
    <col min="26" max="26" width="11.1640625" style="1" customWidth="1"/>
    <col min="27" max="27" width="12.1640625" style="1" bestFit="1" customWidth="1"/>
    <col min="28" max="28" width="31" style="1" bestFit="1" customWidth="1"/>
    <col min="29" max="29" width="21.5" style="1" bestFit="1" customWidth="1"/>
    <col min="30" max="16384" width="8.83203125" style="1"/>
  </cols>
  <sheetData>
    <row r="1" spans="2:18" x14ac:dyDescent="0.2">
      <c r="B1" s="12"/>
    </row>
    <row r="2" spans="2:18" ht="15" customHeight="1" thickBot="1" x14ac:dyDescent="0.25">
      <c r="B2" s="12"/>
    </row>
    <row r="3" spans="2:18" ht="19" customHeight="1" x14ac:dyDescent="0.25">
      <c r="B3" s="757" t="s">
        <v>25</v>
      </c>
      <c r="D3" s="848" t="s">
        <v>18</v>
      </c>
      <c r="E3" s="878"/>
      <c r="F3" s="878"/>
      <c r="G3" s="849"/>
      <c r="H3" s="4"/>
      <c r="I3" s="848" t="s">
        <v>16</v>
      </c>
      <c r="J3" s="878"/>
      <c r="K3" s="878"/>
      <c r="L3" s="849"/>
    </row>
    <row r="4" spans="2:18" ht="35" thickBot="1" x14ac:dyDescent="0.25">
      <c r="B4" s="758"/>
      <c r="D4" s="299" t="s">
        <v>531</v>
      </c>
      <c r="E4" s="300" t="s">
        <v>14</v>
      </c>
      <c r="F4" s="300" t="s">
        <v>20</v>
      </c>
      <c r="G4" s="301" t="s">
        <v>15</v>
      </c>
      <c r="H4" s="5"/>
      <c r="I4" s="299" t="s">
        <v>531</v>
      </c>
      <c r="J4" s="345" t="s">
        <v>904</v>
      </c>
      <c r="K4" s="345" t="s">
        <v>905</v>
      </c>
      <c r="L4" s="346" t="s">
        <v>906</v>
      </c>
    </row>
    <row r="5" spans="2:18" x14ac:dyDescent="0.2">
      <c r="B5" s="758"/>
      <c r="D5" s="358" t="s">
        <v>34</v>
      </c>
      <c r="E5" s="606" t="s">
        <v>91</v>
      </c>
      <c r="F5" s="606" t="s">
        <v>94</v>
      </c>
      <c r="G5" s="607" t="s">
        <v>127</v>
      </c>
      <c r="H5" s="60"/>
      <c r="I5" s="353" t="s">
        <v>93</v>
      </c>
      <c r="J5" s="614">
        <v>18</v>
      </c>
      <c r="K5" s="614">
        <v>18</v>
      </c>
      <c r="L5" s="615">
        <v>10</v>
      </c>
      <c r="N5" s="110"/>
    </row>
    <row r="6" spans="2:18" x14ac:dyDescent="0.2">
      <c r="B6" s="758"/>
      <c r="D6" s="356" t="s">
        <v>532</v>
      </c>
      <c r="E6" s="608" t="s">
        <v>533</v>
      </c>
      <c r="F6" s="608" t="s">
        <v>534</v>
      </c>
      <c r="G6" s="609" t="s">
        <v>535</v>
      </c>
      <c r="H6" s="60"/>
      <c r="I6" s="354" t="s">
        <v>27</v>
      </c>
      <c r="J6" s="612">
        <v>400</v>
      </c>
      <c r="K6" s="612">
        <v>400</v>
      </c>
      <c r="L6" s="570">
        <v>400</v>
      </c>
      <c r="N6" s="110"/>
    </row>
    <row r="7" spans="2:18" x14ac:dyDescent="0.2">
      <c r="B7" s="758"/>
      <c r="D7" s="356" t="s">
        <v>536</v>
      </c>
      <c r="E7" s="610" t="s">
        <v>90</v>
      </c>
      <c r="F7" s="611" t="s">
        <v>90</v>
      </c>
      <c r="G7" s="609" t="s">
        <v>128</v>
      </c>
      <c r="H7" s="60"/>
      <c r="I7" s="355" t="s">
        <v>74</v>
      </c>
      <c r="J7" s="616">
        <v>15000</v>
      </c>
      <c r="K7" s="616">
        <v>15000</v>
      </c>
      <c r="L7" s="617">
        <v>11375</v>
      </c>
      <c r="N7" s="110"/>
    </row>
    <row r="8" spans="2:18" ht="16" customHeight="1" x14ac:dyDescent="0.2">
      <c r="B8" s="758"/>
      <c r="D8" s="355" t="s">
        <v>540</v>
      </c>
      <c r="E8" s="608" t="s">
        <v>85</v>
      </c>
      <c r="F8" s="608" t="s">
        <v>85</v>
      </c>
      <c r="G8" s="609" t="s">
        <v>125</v>
      </c>
      <c r="H8" s="60"/>
      <c r="I8" s="356" t="s">
        <v>30</v>
      </c>
      <c r="J8" s="618">
        <f>J7/12</f>
        <v>1250</v>
      </c>
      <c r="K8" s="618">
        <f>K7/12</f>
        <v>1250</v>
      </c>
      <c r="L8" s="619">
        <f>L7/12</f>
        <v>947.91666666666663</v>
      </c>
      <c r="N8" s="110"/>
    </row>
    <row r="9" spans="2:18" x14ac:dyDescent="0.2">
      <c r="B9" s="758"/>
      <c r="D9" s="356" t="s">
        <v>542</v>
      </c>
      <c r="E9" s="612">
        <v>14</v>
      </c>
      <c r="F9" s="612">
        <v>14</v>
      </c>
      <c r="G9" s="570">
        <v>0</v>
      </c>
      <c r="H9" s="60"/>
      <c r="I9" s="354" t="s">
        <v>33</v>
      </c>
      <c r="J9" s="608" t="s">
        <v>87</v>
      </c>
      <c r="K9" s="608" t="s">
        <v>88</v>
      </c>
      <c r="L9" s="609" t="s">
        <v>124</v>
      </c>
      <c r="N9" s="110"/>
    </row>
    <row r="10" spans="2:18" ht="15" customHeight="1" x14ac:dyDescent="0.2">
      <c r="B10" s="758"/>
      <c r="D10" s="359" t="s">
        <v>537</v>
      </c>
      <c r="E10" s="608" t="s">
        <v>85</v>
      </c>
      <c r="F10" s="608" t="s">
        <v>85</v>
      </c>
      <c r="G10" s="609" t="s">
        <v>126</v>
      </c>
      <c r="H10" s="60"/>
      <c r="I10" s="355" t="s">
        <v>0</v>
      </c>
      <c r="J10" s="608">
        <v>60</v>
      </c>
      <c r="K10" s="608">
        <v>60</v>
      </c>
      <c r="L10" s="609">
        <v>120</v>
      </c>
      <c r="N10" s="110"/>
    </row>
    <row r="11" spans="2:18" x14ac:dyDescent="0.2">
      <c r="B11" s="758"/>
      <c r="D11" s="355" t="s">
        <v>538</v>
      </c>
      <c r="E11" s="611" t="s">
        <v>92</v>
      </c>
      <c r="F11" s="611" t="s">
        <v>92</v>
      </c>
      <c r="G11" s="609" t="s">
        <v>128</v>
      </c>
      <c r="H11" s="60"/>
      <c r="I11" s="355" t="s">
        <v>1</v>
      </c>
      <c r="J11" s="608">
        <v>17</v>
      </c>
      <c r="K11" s="608">
        <v>17</v>
      </c>
      <c r="L11" s="609">
        <v>33</v>
      </c>
    </row>
    <row r="12" spans="2:18" ht="16" customHeight="1" x14ac:dyDescent="0.2">
      <c r="B12" s="758"/>
      <c r="D12" s="356" t="s">
        <v>539</v>
      </c>
      <c r="E12" s="608" t="s">
        <v>82</v>
      </c>
      <c r="F12" s="608" t="s">
        <v>82</v>
      </c>
      <c r="G12" s="609" t="s">
        <v>125</v>
      </c>
      <c r="H12" s="60"/>
      <c r="I12" s="355" t="s">
        <v>2</v>
      </c>
      <c r="J12" s="608">
        <v>5</v>
      </c>
      <c r="K12" s="608">
        <v>5</v>
      </c>
      <c r="L12" s="609">
        <v>11.5</v>
      </c>
    </row>
    <row r="13" spans="2:18" ht="16" thickBot="1" x14ac:dyDescent="0.25">
      <c r="B13" s="758"/>
      <c r="D13" s="357" t="s">
        <v>541</v>
      </c>
      <c r="E13" s="613">
        <v>17</v>
      </c>
      <c r="F13" s="613">
        <v>48</v>
      </c>
      <c r="G13" s="571">
        <v>46</v>
      </c>
      <c r="H13" s="60"/>
      <c r="I13" s="355" t="s">
        <v>86</v>
      </c>
      <c r="J13" s="608">
        <v>4600</v>
      </c>
      <c r="K13" s="608">
        <v>4600</v>
      </c>
      <c r="L13" s="609">
        <v>2000</v>
      </c>
    </row>
    <row r="14" spans="2:18" ht="33" thickBot="1" x14ac:dyDescent="0.25">
      <c r="B14" s="758"/>
      <c r="D14" s="110"/>
      <c r="E14" s="52"/>
      <c r="F14" s="111"/>
      <c r="G14" s="59"/>
      <c r="H14" s="60"/>
      <c r="I14" s="355" t="s">
        <v>3</v>
      </c>
      <c r="J14" s="620" t="s">
        <v>89</v>
      </c>
      <c r="K14" s="620" t="s">
        <v>89</v>
      </c>
      <c r="L14" s="609" t="s">
        <v>126</v>
      </c>
    </row>
    <row r="15" spans="2:18" ht="20" thickBot="1" x14ac:dyDescent="0.3">
      <c r="B15" s="758"/>
      <c r="D15" s="848" t="s">
        <v>880</v>
      </c>
      <c r="E15" s="878"/>
      <c r="F15" s="849"/>
      <c r="G15" s="61"/>
      <c r="H15" s="60"/>
      <c r="I15" s="357" t="s">
        <v>83</v>
      </c>
      <c r="J15" s="621" t="s">
        <v>85</v>
      </c>
      <c r="K15" s="621" t="s">
        <v>85</v>
      </c>
      <c r="L15" s="622" t="s">
        <v>126</v>
      </c>
      <c r="R15" s="60"/>
    </row>
    <row r="16" spans="2:18" ht="15" customHeight="1" thickBot="1" x14ac:dyDescent="0.25">
      <c r="B16" s="758"/>
      <c r="D16" s="350" t="s">
        <v>39</v>
      </c>
      <c r="E16" s="351" t="s">
        <v>17</v>
      </c>
      <c r="F16" s="352" t="s">
        <v>40</v>
      </c>
      <c r="G16" s="59"/>
      <c r="H16" s="60"/>
    </row>
    <row r="17" spans="2:29" ht="19" customHeight="1" x14ac:dyDescent="0.2">
      <c r="B17" s="758"/>
      <c r="D17" s="353" t="s">
        <v>13</v>
      </c>
      <c r="E17" s="626">
        <v>0.1</v>
      </c>
      <c r="F17" s="337" t="s">
        <v>84</v>
      </c>
      <c r="G17" s="896" t="s">
        <v>985</v>
      </c>
      <c r="H17" s="60"/>
      <c r="I17" s="880" t="s">
        <v>117</v>
      </c>
      <c r="J17" s="881"/>
      <c r="K17" s="881"/>
      <c r="L17" s="882"/>
      <c r="R17" s="60"/>
    </row>
    <row r="18" spans="2:29" ht="17" thickBot="1" x14ac:dyDescent="0.25">
      <c r="B18" s="758"/>
      <c r="D18" s="377" t="s">
        <v>979</v>
      </c>
      <c r="E18" s="627">
        <v>0.12</v>
      </c>
      <c r="F18" s="374" t="s">
        <v>84</v>
      </c>
      <c r="G18" s="897"/>
      <c r="H18" s="60"/>
      <c r="I18" s="291" t="s">
        <v>141</v>
      </c>
      <c r="J18" s="292" t="s">
        <v>142</v>
      </c>
      <c r="K18" s="764" t="s">
        <v>28</v>
      </c>
      <c r="L18" s="879"/>
      <c r="R18" s="60"/>
    </row>
    <row r="19" spans="2:29" x14ac:dyDescent="0.2">
      <c r="B19" s="758"/>
      <c r="D19" s="355" t="s">
        <v>123</v>
      </c>
      <c r="E19" s="628">
        <v>1</v>
      </c>
      <c r="F19" s="338" t="s">
        <v>76</v>
      </c>
      <c r="G19" s="897"/>
      <c r="H19" s="60"/>
      <c r="I19" s="353" t="s">
        <v>620</v>
      </c>
      <c r="J19" s="623">
        <v>258</v>
      </c>
      <c r="K19" s="887" t="s">
        <v>881</v>
      </c>
      <c r="L19" s="888"/>
    </row>
    <row r="20" spans="2:29" ht="32" x14ac:dyDescent="0.2">
      <c r="B20" s="758"/>
      <c r="D20" s="356" t="s">
        <v>109</v>
      </c>
      <c r="E20" s="612">
        <v>0.5</v>
      </c>
      <c r="F20" s="334" t="s">
        <v>76</v>
      </c>
      <c r="G20" s="897"/>
      <c r="H20" s="60"/>
      <c r="I20" s="361" t="s">
        <v>583</v>
      </c>
      <c r="J20" s="624">
        <v>258</v>
      </c>
      <c r="K20" s="883" t="s">
        <v>882</v>
      </c>
      <c r="L20" s="884"/>
      <c r="R20" s="60"/>
    </row>
    <row r="21" spans="2:29" ht="32" customHeight="1" x14ac:dyDescent="0.2">
      <c r="B21" s="758"/>
      <c r="D21" s="355" t="s">
        <v>99</v>
      </c>
      <c r="E21" s="628">
        <v>0.5</v>
      </c>
      <c r="F21" s="338" t="s">
        <v>76</v>
      </c>
      <c r="G21" s="897"/>
      <c r="I21" s="361" t="s">
        <v>517</v>
      </c>
      <c r="J21" s="624">
        <f>7.25+95+(1*1000)+1165</f>
        <v>2267.25</v>
      </c>
      <c r="K21" s="894"/>
      <c r="L21" s="895"/>
    </row>
    <row r="22" spans="2:29" ht="32" x14ac:dyDescent="0.2">
      <c r="B22" s="758"/>
      <c r="D22" s="355" t="s">
        <v>100</v>
      </c>
      <c r="E22" s="628">
        <v>0.5</v>
      </c>
      <c r="F22" s="338" t="s">
        <v>76</v>
      </c>
      <c r="G22" s="898"/>
      <c r="I22" s="361" t="s">
        <v>518</v>
      </c>
      <c r="J22" s="624">
        <f>7.25+95+1165</f>
        <v>1267.25</v>
      </c>
      <c r="K22" s="894"/>
      <c r="L22" s="895"/>
    </row>
    <row r="23" spans="2:29" ht="33" thickBot="1" x14ac:dyDescent="0.25">
      <c r="B23" s="758"/>
      <c r="D23" s="356" t="s">
        <v>101</v>
      </c>
      <c r="E23" s="628">
        <v>0.5</v>
      </c>
      <c r="F23" s="338" t="s">
        <v>76</v>
      </c>
      <c r="G23" s="69"/>
      <c r="I23" s="362" t="s">
        <v>519</v>
      </c>
      <c r="J23" s="625">
        <f>450+1200</f>
        <v>1650</v>
      </c>
      <c r="K23" s="885"/>
      <c r="L23" s="886"/>
      <c r="Q23" s="4"/>
      <c r="R23" s="4"/>
      <c r="S23" s="4"/>
      <c r="T23" s="4"/>
      <c r="AC23" s="4"/>
    </row>
    <row r="24" spans="2:29" ht="16" thickBot="1" x14ac:dyDescent="0.25">
      <c r="B24" s="758"/>
      <c r="D24" s="356" t="s">
        <v>103</v>
      </c>
      <c r="E24" s="628">
        <v>0.5</v>
      </c>
      <c r="F24" s="334" t="s">
        <v>76</v>
      </c>
      <c r="G24" s="69"/>
    </row>
    <row r="25" spans="2:29" ht="15" customHeight="1" x14ac:dyDescent="0.25">
      <c r="B25" s="758"/>
      <c r="D25" s="356" t="s">
        <v>102</v>
      </c>
      <c r="E25" s="628">
        <v>1</v>
      </c>
      <c r="F25" s="334" t="s">
        <v>76</v>
      </c>
      <c r="G25" s="69"/>
      <c r="I25" s="848" t="s">
        <v>678</v>
      </c>
      <c r="J25" s="878"/>
      <c r="K25" s="878"/>
      <c r="L25" s="849"/>
    </row>
    <row r="26" spans="2:29" ht="19" customHeight="1" thickBot="1" x14ac:dyDescent="0.25">
      <c r="B26" s="758"/>
      <c r="D26" s="356" t="s">
        <v>97</v>
      </c>
      <c r="E26" s="628">
        <v>6</v>
      </c>
      <c r="F26" s="338" t="s">
        <v>76</v>
      </c>
      <c r="I26" s="299" t="s">
        <v>531</v>
      </c>
      <c r="J26" s="300" t="s">
        <v>142</v>
      </c>
      <c r="K26" s="892" t="s">
        <v>28</v>
      </c>
      <c r="L26" s="893"/>
    </row>
    <row r="27" spans="2:29" ht="15" customHeight="1" x14ac:dyDescent="0.2">
      <c r="B27" s="758"/>
      <c r="D27" s="356" t="s">
        <v>98</v>
      </c>
      <c r="E27" s="628">
        <v>5</v>
      </c>
      <c r="F27" s="338" t="s">
        <v>76</v>
      </c>
      <c r="I27" s="353" t="s">
        <v>666</v>
      </c>
      <c r="J27" s="623">
        <v>5799</v>
      </c>
      <c r="K27" s="636" t="s">
        <v>665</v>
      </c>
      <c r="L27" s="889" t="s">
        <v>803</v>
      </c>
    </row>
    <row r="28" spans="2:29" ht="20" customHeight="1" x14ac:dyDescent="0.2">
      <c r="B28" s="758"/>
      <c r="D28" s="356" t="s">
        <v>96</v>
      </c>
      <c r="E28" s="628">
        <v>1</v>
      </c>
      <c r="F28" s="334" t="s">
        <v>76</v>
      </c>
      <c r="I28" s="355" t="s">
        <v>668</v>
      </c>
      <c r="J28" s="624">
        <v>1055</v>
      </c>
      <c r="K28" s="637" t="s">
        <v>667</v>
      </c>
      <c r="L28" s="890"/>
    </row>
    <row r="29" spans="2:29" ht="23" customHeight="1" thickBot="1" x14ac:dyDescent="0.25">
      <c r="B29" s="758"/>
      <c r="D29" s="360" t="s">
        <v>121</v>
      </c>
      <c r="E29" s="629">
        <v>0</v>
      </c>
      <c r="F29" s="336" t="s">
        <v>76</v>
      </c>
      <c r="I29" s="361" t="s">
        <v>669</v>
      </c>
      <c r="J29" s="624">
        <v>6226</v>
      </c>
      <c r="K29" s="637" t="s">
        <v>665</v>
      </c>
      <c r="L29" s="890"/>
    </row>
    <row r="30" spans="2:29" ht="23" customHeight="1" thickBot="1" x14ac:dyDescent="0.25">
      <c r="B30" s="758"/>
      <c r="I30" s="361" t="s">
        <v>670</v>
      </c>
      <c r="J30" s="624">
        <v>568</v>
      </c>
      <c r="K30" s="637" t="s">
        <v>667</v>
      </c>
      <c r="L30" s="890"/>
    </row>
    <row r="31" spans="2:29" ht="23" customHeight="1" x14ac:dyDescent="0.2">
      <c r="B31" s="758"/>
      <c r="D31" s="880" t="s">
        <v>24</v>
      </c>
      <c r="E31" s="881"/>
      <c r="F31" s="882"/>
      <c r="H31" s="1" t="s">
        <v>183</v>
      </c>
      <c r="I31" s="361" t="s">
        <v>671</v>
      </c>
      <c r="J31" s="624">
        <v>707.02</v>
      </c>
      <c r="K31" s="637" t="s">
        <v>665</v>
      </c>
      <c r="L31" s="890"/>
    </row>
    <row r="32" spans="2:29" ht="17" thickBot="1" x14ac:dyDescent="0.25">
      <c r="B32" s="758"/>
      <c r="D32" s="347" t="s">
        <v>22</v>
      </c>
      <c r="E32" s="348" t="s">
        <v>23</v>
      </c>
      <c r="F32" s="349" t="s">
        <v>81</v>
      </c>
      <c r="I32" s="357" t="s">
        <v>672</v>
      </c>
      <c r="J32" s="625">
        <v>17</v>
      </c>
      <c r="K32" s="638" t="s">
        <v>667</v>
      </c>
      <c r="L32" s="891"/>
    </row>
    <row r="33" spans="2:29" ht="29" customHeight="1" thickBot="1" x14ac:dyDescent="0.25">
      <c r="B33" s="758"/>
      <c r="D33" s="353" t="s">
        <v>132</v>
      </c>
      <c r="E33" s="614">
        <v>1</v>
      </c>
      <c r="F33" s="630">
        <v>45.32</v>
      </c>
      <c r="N33" s="224"/>
    </row>
    <row r="34" spans="2:29" ht="19" x14ac:dyDescent="0.25">
      <c r="B34" s="758"/>
      <c r="D34" s="355" t="s">
        <v>133</v>
      </c>
      <c r="E34" s="612">
        <v>2</v>
      </c>
      <c r="F34" s="631">
        <v>45.32</v>
      </c>
      <c r="I34" s="848" t="s">
        <v>920</v>
      </c>
      <c r="J34" s="849"/>
      <c r="U34" s="4"/>
      <c r="V34" s="4"/>
      <c r="W34" s="4"/>
    </row>
    <row r="35" spans="2:29" ht="18" thickBot="1" x14ac:dyDescent="0.25">
      <c r="B35" s="758"/>
      <c r="D35" s="356" t="s">
        <v>134</v>
      </c>
      <c r="E35" s="632">
        <v>1</v>
      </c>
      <c r="F35" s="633">
        <v>40.950000000000003</v>
      </c>
      <c r="I35" s="299" t="s">
        <v>62</v>
      </c>
      <c r="J35" s="346" t="s">
        <v>900</v>
      </c>
      <c r="U35" s="4"/>
      <c r="V35" s="4"/>
      <c r="W35" s="4"/>
    </row>
    <row r="36" spans="2:29" ht="16" customHeight="1" x14ac:dyDescent="0.2">
      <c r="B36" s="758"/>
      <c r="D36" s="355" t="s">
        <v>135</v>
      </c>
      <c r="E36" s="632">
        <v>1</v>
      </c>
      <c r="F36" s="633">
        <v>40.950000000000003</v>
      </c>
      <c r="I36" s="554" t="s">
        <v>927</v>
      </c>
      <c r="J36" s="581">
        <f>'1. MADWEC CapEx'!K7</f>
        <v>415</v>
      </c>
      <c r="K36" s="873" t="s">
        <v>986</v>
      </c>
      <c r="L36" s="874"/>
      <c r="U36" s="4"/>
      <c r="V36" s="4"/>
      <c r="W36" s="4"/>
    </row>
    <row r="37" spans="2:29" ht="16" x14ac:dyDescent="0.2">
      <c r="B37" s="758"/>
      <c r="D37" s="355" t="s">
        <v>136</v>
      </c>
      <c r="E37" s="612">
        <v>1</v>
      </c>
      <c r="F37" s="631">
        <v>46.22</v>
      </c>
      <c r="I37" s="553" t="s">
        <v>929</v>
      </c>
      <c r="J37" s="582">
        <f>'1. MADWEC CapEx'!K8</f>
        <v>176</v>
      </c>
      <c r="K37" s="751"/>
      <c r="L37" s="875"/>
      <c r="U37" s="4"/>
      <c r="V37" s="4"/>
      <c r="W37" s="4"/>
    </row>
    <row r="38" spans="2:29" ht="15" customHeight="1" x14ac:dyDescent="0.2">
      <c r="B38" s="758"/>
      <c r="D38" s="355" t="s">
        <v>137</v>
      </c>
      <c r="E38" s="612">
        <v>2</v>
      </c>
      <c r="F38" s="631">
        <v>46.22</v>
      </c>
      <c r="I38" s="559" t="s">
        <v>930</v>
      </c>
      <c r="J38" s="658">
        <f>'1. MADWEC CapEx'!K9</f>
        <v>285</v>
      </c>
      <c r="K38" s="751"/>
      <c r="L38" s="875"/>
      <c r="T38" s="4"/>
      <c r="U38" s="4"/>
      <c r="V38" s="4"/>
      <c r="W38" s="4"/>
      <c r="X38" s="4"/>
    </row>
    <row r="39" spans="2:29" ht="15" customHeight="1" x14ac:dyDescent="0.2">
      <c r="B39" s="758"/>
      <c r="D39" s="356" t="s">
        <v>138</v>
      </c>
      <c r="E39" s="632">
        <v>1</v>
      </c>
      <c r="F39" s="633">
        <v>39.369999999999997</v>
      </c>
      <c r="I39" s="553" t="s">
        <v>923</v>
      </c>
      <c r="J39" s="648">
        <f>'1. MADWEC CapEx'!K4</f>
        <v>777</v>
      </c>
      <c r="K39" s="751"/>
      <c r="L39" s="875"/>
      <c r="T39" s="4"/>
      <c r="U39" s="4"/>
      <c r="V39" s="4"/>
      <c r="W39" s="4"/>
      <c r="X39" s="4"/>
    </row>
    <row r="40" spans="2:29" ht="15" customHeight="1" thickBot="1" x14ac:dyDescent="0.25">
      <c r="B40" s="759"/>
      <c r="D40" s="357" t="s">
        <v>139</v>
      </c>
      <c r="E40" s="634">
        <v>1</v>
      </c>
      <c r="F40" s="635">
        <v>39.369999999999997</v>
      </c>
      <c r="I40" s="553" t="s">
        <v>924</v>
      </c>
      <c r="J40" s="582">
        <f>'1. MADWEC CapEx'!K5</f>
        <v>329</v>
      </c>
      <c r="K40" s="751"/>
      <c r="L40" s="875"/>
      <c r="T40" s="4"/>
      <c r="U40" s="4"/>
      <c r="V40" s="4"/>
      <c r="W40" s="4"/>
      <c r="X40" s="4"/>
    </row>
    <row r="41" spans="2:29" ht="15" customHeight="1" thickBot="1" x14ac:dyDescent="0.25">
      <c r="B41" s="14"/>
      <c r="D41" s="364"/>
      <c r="E41" s="61"/>
      <c r="F41" s="19"/>
      <c r="I41" s="555" t="s">
        <v>926</v>
      </c>
      <c r="J41" s="583">
        <f>'1. MADWEC CapEx'!K6</f>
        <v>534</v>
      </c>
      <c r="K41" s="876"/>
      <c r="L41" s="877"/>
      <c r="T41" s="4"/>
      <c r="U41" s="4"/>
      <c r="V41" s="4"/>
      <c r="W41" s="4"/>
      <c r="X41" s="4"/>
    </row>
    <row r="42" spans="2:29" ht="15" customHeight="1" x14ac:dyDescent="0.2">
      <c r="B42" s="14"/>
      <c r="D42" s="364"/>
      <c r="E42" s="61"/>
      <c r="F42" s="19"/>
      <c r="T42" s="4"/>
      <c r="U42" s="4"/>
      <c r="V42" s="4"/>
      <c r="W42" s="4"/>
      <c r="X42" s="4"/>
    </row>
    <row r="43" spans="2:29" ht="15" customHeight="1" thickBot="1" x14ac:dyDescent="0.25">
      <c r="B43" s="14"/>
      <c r="T43" s="4"/>
      <c r="U43" s="4"/>
      <c r="V43" s="4"/>
      <c r="W43" s="4"/>
      <c r="X43" s="4"/>
    </row>
    <row r="44" spans="2:29" ht="20" customHeight="1" thickBot="1" x14ac:dyDescent="0.3">
      <c r="B44" s="757" t="s">
        <v>51</v>
      </c>
      <c r="D44" s="863" t="s">
        <v>47</v>
      </c>
      <c r="E44" s="864"/>
      <c r="F44" s="864"/>
      <c r="G44" s="864"/>
      <c r="H44" s="864"/>
      <c r="I44" s="864"/>
      <c r="J44" s="864"/>
      <c r="K44" s="865"/>
      <c r="M44" s="866" t="s">
        <v>65</v>
      </c>
      <c r="N44" s="867"/>
      <c r="O44" s="867"/>
      <c r="P44" s="867"/>
      <c r="Q44" s="867"/>
      <c r="R44" s="867"/>
      <c r="S44" s="867"/>
      <c r="T44" s="868"/>
      <c r="U44" s="4"/>
      <c r="V44" s="863" t="s">
        <v>52</v>
      </c>
      <c r="W44" s="864"/>
      <c r="X44" s="864"/>
      <c r="Y44" s="864"/>
      <c r="Z44" s="864"/>
      <c r="AA44" s="864"/>
      <c r="AB44" s="864"/>
      <c r="AC44" s="865"/>
    </row>
    <row r="45" spans="2:29" ht="15" customHeight="1" x14ac:dyDescent="0.2">
      <c r="B45" s="758"/>
      <c r="D45" s="857" t="s">
        <v>73</v>
      </c>
      <c r="E45" s="24" t="s">
        <v>4</v>
      </c>
      <c r="F45" s="25" t="s">
        <v>35</v>
      </c>
      <c r="G45" s="26" t="s">
        <v>5</v>
      </c>
      <c r="H45" s="25" t="s">
        <v>77</v>
      </c>
      <c r="I45" s="26" t="s">
        <v>31</v>
      </c>
      <c r="J45" s="26" t="s">
        <v>29</v>
      </c>
      <c r="K45" s="34" t="s">
        <v>32</v>
      </c>
      <c r="M45" s="869" t="s">
        <v>73</v>
      </c>
      <c r="N45" s="78" t="s">
        <v>4</v>
      </c>
      <c r="O45" s="72" t="s">
        <v>35</v>
      </c>
      <c r="P45" s="75" t="s">
        <v>5</v>
      </c>
      <c r="Q45" s="72" t="s">
        <v>77</v>
      </c>
      <c r="R45" s="75" t="s">
        <v>31</v>
      </c>
      <c r="S45" s="75" t="s">
        <v>29</v>
      </c>
      <c r="T45" s="76" t="s">
        <v>32</v>
      </c>
      <c r="U45" s="4"/>
      <c r="V45" s="857" t="s">
        <v>73</v>
      </c>
      <c r="W45" s="24" t="s">
        <v>4</v>
      </c>
      <c r="X45" s="25" t="s">
        <v>35</v>
      </c>
      <c r="Y45" s="26" t="s">
        <v>5</v>
      </c>
      <c r="Z45" s="25" t="s">
        <v>77</v>
      </c>
      <c r="AA45" s="26" t="s">
        <v>31</v>
      </c>
      <c r="AB45" s="26" t="s">
        <v>29</v>
      </c>
      <c r="AC45" s="34" t="s">
        <v>32</v>
      </c>
    </row>
    <row r="46" spans="2:29" ht="16" x14ac:dyDescent="0.2">
      <c r="B46" s="758"/>
      <c r="D46" s="858"/>
      <c r="E46" s="39" t="s">
        <v>95</v>
      </c>
      <c r="F46" s="9" t="s">
        <v>75</v>
      </c>
      <c r="G46" s="9" t="s">
        <v>7</v>
      </c>
      <c r="H46" s="46">
        <f>(E9/$J$5)</f>
        <v>0.77777777777777779</v>
      </c>
      <c r="I46" s="54">
        <f>($J$8+$J$6)*H46</f>
        <v>1283.3333333333333</v>
      </c>
      <c r="J46" s="16">
        <f>((F35*E35)+(F36*E36))*H46</f>
        <v>63.7</v>
      </c>
      <c r="K46" s="7">
        <f>I46+J46</f>
        <v>1347.0333333333333</v>
      </c>
      <c r="M46" s="858"/>
      <c r="N46" s="39" t="s">
        <v>119</v>
      </c>
      <c r="O46" s="9" t="s">
        <v>115</v>
      </c>
      <c r="P46" s="9" t="s">
        <v>7</v>
      </c>
      <c r="Q46" s="46">
        <f>F9/K5</f>
        <v>0.77777777777777779</v>
      </c>
      <c r="R46" s="54">
        <f>($K$6+$K$8)*Q46</f>
        <v>1283.3333333333333</v>
      </c>
      <c r="S46" s="16">
        <f>(($F$35*$E$35)+($F$36*$E$36))*Q46</f>
        <v>63.7</v>
      </c>
      <c r="T46" s="7">
        <f>R46+S46</f>
        <v>1347.0333333333333</v>
      </c>
      <c r="U46" s="4"/>
      <c r="V46" s="858"/>
      <c r="W46" s="39" t="s">
        <v>120</v>
      </c>
      <c r="X46" s="9" t="s">
        <v>116</v>
      </c>
      <c r="Y46" s="27" t="s">
        <v>7</v>
      </c>
      <c r="Z46" s="46">
        <f>G9/L5</f>
        <v>0</v>
      </c>
      <c r="AA46" s="31">
        <f>($L$6+$L$8)*Z46</f>
        <v>0</v>
      </c>
      <c r="AB46" s="79">
        <f>($F$39+$F$40)*Z46</f>
        <v>0</v>
      </c>
      <c r="AC46" s="7">
        <f>AA46+AB46</f>
        <v>0</v>
      </c>
    </row>
    <row r="47" spans="2:29" ht="16" x14ac:dyDescent="0.2">
      <c r="B47" s="758"/>
      <c r="D47" s="858"/>
      <c r="E47" s="39" t="s">
        <v>107</v>
      </c>
      <c r="F47" s="9" t="s">
        <v>75</v>
      </c>
      <c r="G47" s="9" t="s">
        <v>12</v>
      </c>
      <c r="H47" s="3">
        <f>E19</f>
        <v>1</v>
      </c>
      <c r="I47" s="54">
        <f>($J$8+$J$6)*H47</f>
        <v>1650</v>
      </c>
      <c r="J47" s="16">
        <f t="shared" ref="J47:J56" si="0">(($F$33*$E$33)+($F$34*$E$34)+($F$35*$E$35)+($F$36*$E$36))*H47</f>
        <v>217.86</v>
      </c>
      <c r="K47" s="7">
        <f t="shared" ref="K47:K57" si="1">I47+J47</f>
        <v>1867.8600000000001</v>
      </c>
      <c r="M47" s="858"/>
      <c r="N47" s="39" t="s">
        <v>107</v>
      </c>
      <c r="O47" s="9" t="s">
        <v>115</v>
      </c>
      <c r="P47" s="9" t="s">
        <v>12</v>
      </c>
      <c r="Q47" s="3">
        <f>E19</f>
        <v>1</v>
      </c>
      <c r="R47" s="54">
        <f t="shared" ref="R47:R57" si="2">($K$6+$K$8)*Q47</f>
        <v>1650</v>
      </c>
      <c r="S47" s="16">
        <f t="shared" ref="S47:S56" si="3">(($F$33*$E$33)+($F$34*$E$34)+($F$35*$E$35)+($F$36*$E$36))*Q47</f>
        <v>217.86</v>
      </c>
      <c r="T47" s="7">
        <f t="shared" ref="T47:T57" si="4">R47+S47</f>
        <v>1867.8600000000001</v>
      </c>
      <c r="U47" s="4"/>
      <c r="V47" s="858"/>
      <c r="W47" s="39" t="s">
        <v>107</v>
      </c>
      <c r="X47" s="9" t="s">
        <v>116</v>
      </c>
      <c r="Y47" s="27" t="s">
        <v>12</v>
      </c>
      <c r="Z47" s="3">
        <f>E19</f>
        <v>1</v>
      </c>
      <c r="AA47" s="31">
        <f>($L$6+$L$8)*Z47</f>
        <v>1347.9166666666665</v>
      </c>
      <c r="AB47" s="16">
        <f t="shared" ref="AB47:AB56" si="5">(($F$37*$E$37)+($F$38*$E$38)+($F$39*$E$39)+($F$40*$E$40))*Z47</f>
        <v>217.4</v>
      </c>
      <c r="AC47" s="7">
        <f t="shared" ref="AC47:AC57" si="6">AA47+AB47</f>
        <v>1565.3166666666666</v>
      </c>
    </row>
    <row r="48" spans="2:29" ht="16" customHeight="1" x14ac:dyDescent="0.2">
      <c r="B48" s="758"/>
      <c r="D48" s="858"/>
      <c r="E48" s="39" t="s">
        <v>42</v>
      </c>
      <c r="F48" s="9" t="s">
        <v>75</v>
      </c>
      <c r="G48" s="11" t="s">
        <v>8</v>
      </c>
      <c r="H48" s="45">
        <f>(E13/J5)</f>
        <v>0.94444444444444442</v>
      </c>
      <c r="I48" s="54">
        <f t="shared" ref="I48:I57" si="7">($J$8+$J$6)*H48</f>
        <v>1558.3333333333333</v>
      </c>
      <c r="J48" s="16">
        <f t="shared" si="0"/>
        <v>205.75666666666666</v>
      </c>
      <c r="K48" s="7">
        <f t="shared" si="1"/>
        <v>1764.09</v>
      </c>
      <c r="L48" s="4"/>
      <c r="M48" s="858"/>
      <c r="N48" s="39" t="s">
        <v>55</v>
      </c>
      <c r="O48" s="9" t="s">
        <v>115</v>
      </c>
      <c r="P48" s="11" t="s">
        <v>8</v>
      </c>
      <c r="Q48" s="45">
        <f>F13/K5</f>
        <v>2.6666666666666665</v>
      </c>
      <c r="R48" s="54">
        <f t="shared" si="2"/>
        <v>4400</v>
      </c>
      <c r="S48" s="16">
        <f t="shared" si="3"/>
        <v>580.96</v>
      </c>
      <c r="T48" s="7">
        <f t="shared" si="4"/>
        <v>4980.96</v>
      </c>
      <c r="U48" s="4"/>
      <c r="V48" s="858"/>
      <c r="W48" s="39" t="s">
        <v>58</v>
      </c>
      <c r="X48" s="9" t="s">
        <v>116</v>
      </c>
      <c r="Y48" s="28" t="s">
        <v>8</v>
      </c>
      <c r="Z48" s="45">
        <f>G13/L5</f>
        <v>4.5999999999999996</v>
      </c>
      <c r="AA48" s="31">
        <f t="shared" ref="AA48:AA56" si="8">($L$6+$L$8)*Z48</f>
        <v>6200.4166666666652</v>
      </c>
      <c r="AB48" s="16">
        <f t="shared" si="5"/>
        <v>1000.04</v>
      </c>
      <c r="AC48" s="7">
        <f t="shared" si="6"/>
        <v>7200.4566666666651</v>
      </c>
    </row>
    <row r="49" spans="2:29" ht="16" customHeight="1" x14ac:dyDescent="0.2">
      <c r="B49" s="758"/>
      <c r="D49" s="858"/>
      <c r="E49" s="39" t="s">
        <v>108</v>
      </c>
      <c r="F49" s="9" t="s">
        <v>75</v>
      </c>
      <c r="G49" s="11" t="s">
        <v>12</v>
      </c>
      <c r="H49" s="45">
        <f t="shared" ref="H49:H54" si="9">E20</f>
        <v>0.5</v>
      </c>
      <c r="I49" s="54">
        <f>($J$8+$J$6)*H49</f>
        <v>825</v>
      </c>
      <c r="J49" s="16">
        <f t="shared" si="0"/>
        <v>108.93</v>
      </c>
      <c r="K49" s="7">
        <f t="shared" si="1"/>
        <v>933.93000000000006</v>
      </c>
      <c r="L49" s="4"/>
      <c r="M49" s="858"/>
      <c r="N49" s="39" t="s">
        <v>108</v>
      </c>
      <c r="O49" s="9" t="s">
        <v>115</v>
      </c>
      <c r="P49" s="11" t="s">
        <v>12</v>
      </c>
      <c r="Q49" s="45">
        <f t="shared" ref="Q49:Q54" si="10">E20</f>
        <v>0.5</v>
      </c>
      <c r="R49" s="54">
        <f t="shared" si="2"/>
        <v>825</v>
      </c>
      <c r="S49" s="16">
        <f t="shared" si="3"/>
        <v>108.93</v>
      </c>
      <c r="T49" s="7">
        <f t="shared" si="4"/>
        <v>933.93000000000006</v>
      </c>
      <c r="U49" s="4"/>
      <c r="V49" s="858"/>
      <c r="W49" s="39" t="s">
        <v>108</v>
      </c>
      <c r="X49" s="9" t="s">
        <v>116</v>
      </c>
      <c r="Y49" s="28" t="s">
        <v>12</v>
      </c>
      <c r="Z49" s="45">
        <f t="shared" ref="Z49:Z54" si="11">E20</f>
        <v>0.5</v>
      </c>
      <c r="AA49" s="31">
        <f>($L$6+$L$8)*Z49</f>
        <v>673.95833333333326</v>
      </c>
      <c r="AB49" s="16">
        <f t="shared" si="5"/>
        <v>108.7</v>
      </c>
      <c r="AC49" s="7">
        <f t="shared" si="6"/>
        <v>782.6583333333333</v>
      </c>
    </row>
    <row r="50" spans="2:29" x14ac:dyDescent="0.2">
      <c r="B50" s="758"/>
      <c r="D50" s="858"/>
      <c r="E50" s="39" t="s">
        <v>110</v>
      </c>
      <c r="F50" s="9" t="s">
        <v>75</v>
      </c>
      <c r="G50" s="11" t="s">
        <v>10</v>
      </c>
      <c r="H50" s="45">
        <f t="shared" si="9"/>
        <v>0.5</v>
      </c>
      <c r="I50" s="54">
        <f t="shared" si="7"/>
        <v>825</v>
      </c>
      <c r="J50" s="16">
        <f t="shared" si="0"/>
        <v>108.93</v>
      </c>
      <c r="K50" s="7">
        <f>I50+J50</f>
        <v>933.93000000000006</v>
      </c>
      <c r="L50" s="5"/>
      <c r="M50" s="858"/>
      <c r="N50" s="39" t="s">
        <v>110</v>
      </c>
      <c r="O50" s="9" t="s">
        <v>115</v>
      </c>
      <c r="P50" s="11" t="s">
        <v>10</v>
      </c>
      <c r="Q50" s="45">
        <f t="shared" si="10"/>
        <v>0.5</v>
      </c>
      <c r="R50" s="54">
        <f t="shared" si="2"/>
        <v>825</v>
      </c>
      <c r="S50" s="16">
        <f t="shared" si="3"/>
        <v>108.93</v>
      </c>
      <c r="T50" s="7">
        <f t="shared" si="4"/>
        <v>933.93000000000006</v>
      </c>
      <c r="U50" s="787"/>
      <c r="V50" s="858"/>
      <c r="W50" s="39" t="s">
        <v>110</v>
      </c>
      <c r="X50" s="9" t="s">
        <v>116</v>
      </c>
      <c r="Y50" s="28" t="s">
        <v>10</v>
      </c>
      <c r="Z50" s="45">
        <f t="shared" si="11"/>
        <v>0.5</v>
      </c>
      <c r="AA50" s="31">
        <f t="shared" si="8"/>
        <v>673.95833333333326</v>
      </c>
      <c r="AB50" s="16">
        <f t="shared" si="5"/>
        <v>108.7</v>
      </c>
      <c r="AC50" s="7">
        <f t="shared" si="6"/>
        <v>782.6583333333333</v>
      </c>
    </row>
    <row r="51" spans="2:29" x14ac:dyDescent="0.2">
      <c r="B51" s="758"/>
      <c r="D51" s="858"/>
      <c r="E51" s="39" t="s">
        <v>111</v>
      </c>
      <c r="F51" s="9" t="s">
        <v>75</v>
      </c>
      <c r="G51" s="11" t="s">
        <v>10</v>
      </c>
      <c r="H51" s="45">
        <f t="shared" si="9"/>
        <v>0.5</v>
      </c>
      <c r="I51" s="54">
        <f t="shared" si="7"/>
        <v>825</v>
      </c>
      <c r="J51" s="16">
        <f t="shared" si="0"/>
        <v>108.93</v>
      </c>
      <c r="K51" s="7">
        <f t="shared" si="1"/>
        <v>933.93000000000006</v>
      </c>
      <c r="L51" s="18"/>
      <c r="M51" s="858"/>
      <c r="N51" s="39" t="s">
        <v>111</v>
      </c>
      <c r="O51" s="9" t="s">
        <v>115</v>
      </c>
      <c r="P51" s="11" t="s">
        <v>10</v>
      </c>
      <c r="Q51" s="45">
        <f t="shared" si="10"/>
        <v>0.5</v>
      </c>
      <c r="R51" s="54">
        <f t="shared" si="2"/>
        <v>825</v>
      </c>
      <c r="S51" s="16">
        <f t="shared" si="3"/>
        <v>108.93</v>
      </c>
      <c r="T51" s="7">
        <f t="shared" si="4"/>
        <v>933.93000000000006</v>
      </c>
      <c r="U51" s="787"/>
      <c r="V51" s="858"/>
      <c r="W51" s="39" t="s">
        <v>111</v>
      </c>
      <c r="X51" s="9" t="s">
        <v>116</v>
      </c>
      <c r="Y51" s="28" t="s">
        <v>10</v>
      </c>
      <c r="Z51" s="45">
        <f t="shared" si="11"/>
        <v>0.5</v>
      </c>
      <c r="AA51" s="31">
        <f t="shared" si="8"/>
        <v>673.95833333333326</v>
      </c>
      <c r="AB51" s="16">
        <f t="shared" si="5"/>
        <v>108.7</v>
      </c>
      <c r="AC51" s="7">
        <f t="shared" si="6"/>
        <v>782.6583333333333</v>
      </c>
    </row>
    <row r="52" spans="2:29" x14ac:dyDescent="0.2">
      <c r="B52" s="758"/>
      <c r="D52" s="858"/>
      <c r="E52" s="39" t="s">
        <v>112</v>
      </c>
      <c r="F52" s="9" t="s">
        <v>75</v>
      </c>
      <c r="G52" s="11" t="s">
        <v>10</v>
      </c>
      <c r="H52" s="45">
        <f t="shared" si="9"/>
        <v>0.5</v>
      </c>
      <c r="I52" s="54">
        <f t="shared" si="7"/>
        <v>825</v>
      </c>
      <c r="J52" s="16">
        <f t="shared" si="0"/>
        <v>108.93</v>
      </c>
      <c r="K52" s="7">
        <f t="shared" si="1"/>
        <v>933.93000000000006</v>
      </c>
      <c r="L52" s="18"/>
      <c r="M52" s="858"/>
      <c r="N52" s="39" t="s">
        <v>112</v>
      </c>
      <c r="O52" s="9" t="s">
        <v>115</v>
      </c>
      <c r="P52" s="11" t="s">
        <v>10</v>
      </c>
      <c r="Q52" s="45">
        <f t="shared" si="10"/>
        <v>0.5</v>
      </c>
      <c r="R52" s="54">
        <f t="shared" si="2"/>
        <v>825</v>
      </c>
      <c r="S52" s="16">
        <f t="shared" si="3"/>
        <v>108.93</v>
      </c>
      <c r="T52" s="7">
        <f t="shared" si="4"/>
        <v>933.93000000000006</v>
      </c>
      <c r="U52" s="787"/>
      <c r="V52" s="858"/>
      <c r="W52" s="39" t="s">
        <v>112</v>
      </c>
      <c r="X52" s="9" t="s">
        <v>116</v>
      </c>
      <c r="Y52" s="28" t="s">
        <v>10</v>
      </c>
      <c r="Z52" s="45">
        <f t="shared" si="11"/>
        <v>0.5</v>
      </c>
      <c r="AA52" s="31">
        <f t="shared" si="8"/>
        <v>673.95833333333326</v>
      </c>
      <c r="AB52" s="16">
        <f t="shared" si="5"/>
        <v>108.7</v>
      </c>
      <c r="AC52" s="7">
        <f t="shared" si="6"/>
        <v>782.6583333333333</v>
      </c>
    </row>
    <row r="53" spans="2:29" x14ac:dyDescent="0.2">
      <c r="B53" s="758"/>
      <c r="D53" s="858"/>
      <c r="E53" s="39" t="s">
        <v>113</v>
      </c>
      <c r="F53" s="9" t="s">
        <v>75</v>
      </c>
      <c r="G53" s="11" t="s">
        <v>10</v>
      </c>
      <c r="H53" s="45">
        <f t="shared" si="9"/>
        <v>0.5</v>
      </c>
      <c r="I53" s="54">
        <f t="shared" si="7"/>
        <v>825</v>
      </c>
      <c r="J53" s="16">
        <f t="shared" si="0"/>
        <v>108.93</v>
      </c>
      <c r="K53" s="7">
        <f>I53+J53</f>
        <v>933.93000000000006</v>
      </c>
      <c r="L53" s="18"/>
      <c r="M53" s="858"/>
      <c r="N53" s="39" t="s">
        <v>113</v>
      </c>
      <c r="O53" s="9" t="s">
        <v>115</v>
      </c>
      <c r="P53" s="11" t="s">
        <v>10</v>
      </c>
      <c r="Q53" s="45">
        <f t="shared" si="10"/>
        <v>0.5</v>
      </c>
      <c r="R53" s="54">
        <f t="shared" si="2"/>
        <v>825</v>
      </c>
      <c r="S53" s="16">
        <f t="shared" si="3"/>
        <v>108.93</v>
      </c>
      <c r="T53" s="7">
        <f t="shared" si="4"/>
        <v>933.93000000000006</v>
      </c>
      <c r="U53" s="787"/>
      <c r="V53" s="858"/>
      <c r="W53" s="39" t="s">
        <v>113</v>
      </c>
      <c r="X53" s="9" t="s">
        <v>116</v>
      </c>
      <c r="Y53" s="28" t="s">
        <v>10</v>
      </c>
      <c r="Z53" s="45">
        <f t="shared" si="11"/>
        <v>0.5</v>
      </c>
      <c r="AA53" s="31">
        <f t="shared" si="8"/>
        <v>673.95833333333326</v>
      </c>
      <c r="AB53" s="16">
        <f t="shared" si="5"/>
        <v>108.7</v>
      </c>
      <c r="AC53" s="7">
        <f t="shared" si="6"/>
        <v>782.6583333333333</v>
      </c>
    </row>
    <row r="54" spans="2:29" x14ac:dyDescent="0.2">
      <c r="B54" s="758"/>
      <c r="D54" s="858"/>
      <c r="E54" s="39" t="s">
        <v>114</v>
      </c>
      <c r="F54" s="9" t="s">
        <v>75</v>
      </c>
      <c r="G54" s="11" t="s">
        <v>10</v>
      </c>
      <c r="H54" s="45">
        <f t="shared" si="9"/>
        <v>1</v>
      </c>
      <c r="I54" s="54">
        <f t="shared" si="7"/>
        <v>1650</v>
      </c>
      <c r="J54" s="16">
        <f t="shared" si="0"/>
        <v>217.86</v>
      </c>
      <c r="K54" s="7">
        <f t="shared" si="1"/>
        <v>1867.8600000000001</v>
      </c>
      <c r="L54" s="18"/>
      <c r="M54" s="858"/>
      <c r="N54" s="39" t="s">
        <v>114</v>
      </c>
      <c r="O54" s="9" t="s">
        <v>115</v>
      </c>
      <c r="P54" s="11" t="s">
        <v>10</v>
      </c>
      <c r="Q54" s="45">
        <f t="shared" si="10"/>
        <v>1</v>
      </c>
      <c r="R54" s="54">
        <f t="shared" si="2"/>
        <v>1650</v>
      </c>
      <c r="S54" s="16">
        <f t="shared" si="3"/>
        <v>217.86</v>
      </c>
      <c r="T54" s="7">
        <f t="shared" si="4"/>
        <v>1867.8600000000001</v>
      </c>
      <c r="U54" s="787"/>
      <c r="V54" s="858"/>
      <c r="W54" s="39" t="s">
        <v>114</v>
      </c>
      <c r="X54" s="9" t="s">
        <v>116</v>
      </c>
      <c r="Y54" s="28" t="s">
        <v>10</v>
      </c>
      <c r="Z54" s="45">
        <f t="shared" si="11"/>
        <v>1</v>
      </c>
      <c r="AA54" s="31">
        <f t="shared" si="8"/>
        <v>1347.9166666666665</v>
      </c>
      <c r="AB54" s="16">
        <f t="shared" si="5"/>
        <v>217.4</v>
      </c>
      <c r="AC54" s="7">
        <f t="shared" si="6"/>
        <v>1565.3166666666666</v>
      </c>
    </row>
    <row r="55" spans="2:29" x14ac:dyDescent="0.2">
      <c r="B55" s="758"/>
      <c r="D55" s="858"/>
      <c r="E55" s="39" t="s">
        <v>11</v>
      </c>
      <c r="F55" s="9" t="s">
        <v>75</v>
      </c>
      <c r="G55" s="11" t="s">
        <v>12</v>
      </c>
      <c r="H55" s="45">
        <f>E28</f>
        <v>1</v>
      </c>
      <c r="I55" s="54">
        <f t="shared" si="7"/>
        <v>1650</v>
      </c>
      <c r="J55" s="16">
        <f t="shared" si="0"/>
        <v>217.86</v>
      </c>
      <c r="K55" s="7">
        <f t="shared" si="1"/>
        <v>1867.8600000000001</v>
      </c>
      <c r="L55" s="18"/>
      <c r="M55" s="858"/>
      <c r="N55" s="39" t="s">
        <v>11</v>
      </c>
      <c r="O55" s="9" t="s">
        <v>115</v>
      </c>
      <c r="P55" s="11" t="s">
        <v>12</v>
      </c>
      <c r="Q55" s="45">
        <f>E28</f>
        <v>1</v>
      </c>
      <c r="R55" s="54">
        <f>($K$6+$K$8)*Q55</f>
        <v>1650</v>
      </c>
      <c r="S55" s="16">
        <f t="shared" si="3"/>
        <v>217.86</v>
      </c>
      <c r="T55" s="7">
        <f t="shared" si="4"/>
        <v>1867.8600000000001</v>
      </c>
      <c r="U55" s="787"/>
      <c r="V55" s="858"/>
      <c r="W55" s="39" t="s">
        <v>11</v>
      </c>
      <c r="X55" s="9" t="s">
        <v>116</v>
      </c>
      <c r="Y55" s="28" t="s">
        <v>12</v>
      </c>
      <c r="Z55" s="45">
        <f>E28</f>
        <v>1</v>
      </c>
      <c r="AA55" s="31">
        <f t="shared" si="8"/>
        <v>1347.9166666666665</v>
      </c>
      <c r="AB55" s="16">
        <f t="shared" si="5"/>
        <v>217.4</v>
      </c>
      <c r="AC55" s="7">
        <f t="shared" si="6"/>
        <v>1565.3166666666666</v>
      </c>
    </row>
    <row r="56" spans="2:29" x14ac:dyDescent="0.2">
      <c r="B56" s="758"/>
      <c r="D56" s="858"/>
      <c r="E56" s="39" t="s">
        <v>45</v>
      </c>
      <c r="F56" s="9" t="s">
        <v>75</v>
      </c>
      <c r="G56" s="11" t="s">
        <v>8</v>
      </c>
      <c r="H56" s="45">
        <f>H48</f>
        <v>0.94444444444444442</v>
      </c>
      <c r="I56" s="54">
        <f t="shared" si="7"/>
        <v>1558.3333333333333</v>
      </c>
      <c r="J56" s="16">
        <f t="shared" si="0"/>
        <v>205.75666666666666</v>
      </c>
      <c r="K56" s="7">
        <f t="shared" si="1"/>
        <v>1764.09</v>
      </c>
      <c r="L56" s="18"/>
      <c r="M56" s="858"/>
      <c r="N56" s="39" t="s">
        <v>56</v>
      </c>
      <c r="O56" s="9" t="s">
        <v>115</v>
      </c>
      <c r="P56" s="11" t="s">
        <v>8</v>
      </c>
      <c r="Q56" s="45">
        <f>Q48</f>
        <v>2.6666666666666665</v>
      </c>
      <c r="R56" s="54">
        <f t="shared" si="2"/>
        <v>4400</v>
      </c>
      <c r="S56" s="16">
        <f t="shared" si="3"/>
        <v>580.96</v>
      </c>
      <c r="T56" s="7">
        <f t="shared" si="4"/>
        <v>4980.96</v>
      </c>
      <c r="U56" s="787"/>
      <c r="V56" s="858"/>
      <c r="W56" s="39" t="s">
        <v>59</v>
      </c>
      <c r="X56" s="9" t="s">
        <v>116</v>
      </c>
      <c r="Y56" s="28" t="s">
        <v>8</v>
      </c>
      <c r="Z56" s="45">
        <f>Z48</f>
        <v>4.5999999999999996</v>
      </c>
      <c r="AA56" s="31">
        <f t="shared" si="8"/>
        <v>6200.4166666666652</v>
      </c>
      <c r="AB56" s="16">
        <f t="shared" si="5"/>
        <v>1000.04</v>
      </c>
      <c r="AC56" s="7">
        <f t="shared" si="6"/>
        <v>7200.4566666666651</v>
      </c>
    </row>
    <row r="57" spans="2:29" x14ac:dyDescent="0.2">
      <c r="B57" s="758"/>
      <c r="D57" s="858"/>
      <c r="E57" s="39" t="s">
        <v>44</v>
      </c>
      <c r="F57" s="9" t="s">
        <v>75</v>
      </c>
      <c r="G57" s="11" t="s">
        <v>7</v>
      </c>
      <c r="H57" s="45">
        <f>H46</f>
        <v>0.77777777777777779</v>
      </c>
      <c r="I57" s="54">
        <f t="shared" si="7"/>
        <v>1283.3333333333333</v>
      </c>
      <c r="J57" s="16">
        <f>((F35*E35)+(F36*E36))*H57</f>
        <v>63.7</v>
      </c>
      <c r="K57" s="7">
        <f t="shared" si="1"/>
        <v>1347.0333333333333</v>
      </c>
      <c r="L57" s="18"/>
      <c r="M57" s="858"/>
      <c r="N57" s="39" t="s">
        <v>57</v>
      </c>
      <c r="O57" s="9" t="s">
        <v>115</v>
      </c>
      <c r="P57" s="11" t="s">
        <v>7</v>
      </c>
      <c r="Q57" s="45">
        <f>Q46</f>
        <v>0.77777777777777779</v>
      </c>
      <c r="R57" s="54">
        <f t="shared" si="2"/>
        <v>1283.3333333333333</v>
      </c>
      <c r="S57" s="16">
        <f>(($F$35*$E$35)+($F$36*$E$36))*Q57</f>
        <v>63.7</v>
      </c>
      <c r="T57" s="7">
        <f t="shared" si="4"/>
        <v>1347.0333333333333</v>
      </c>
      <c r="U57" s="787"/>
      <c r="V57" s="858"/>
      <c r="W57" s="39" t="s">
        <v>61</v>
      </c>
      <c r="X57" s="9" t="s">
        <v>116</v>
      </c>
      <c r="Y57" s="28" t="s">
        <v>7</v>
      </c>
      <c r="Z57" s="45">
        <f>Z46</f>
        <v>0</v>
      </c>
      <c r="AA57" s="31">
        <f>AA46</f>
        <v>0</v>
      </c>
      <c r="AB57" s="16">
        <f>AB46</f>
        <v>0</v>
      </c>
      <c r="AC57" s="7">
        <f t="shared" si="6"/>
        <v>0</v>
      </c>
    </row>
    <row r="58" spans="2:29" ht="15" customHeight="1" x14ac:dyDescent="0.2">
      <c r="B58" s="758"/>
      <c r="D58" s="858"/>
      <c r="E58" s="39" t="s">
        <v>13</v>
      </c>
      <c r="F58" s="9" t="s">
        <v>75</v>
      </c>
      <c r="G58" s="11" t="s">
        <v>12</v>
      </c>
      <c r="H58" s="6" t="s">
        <v>9</v>
      </c>
      <c r="I58" s="9" t="s">
        <v>9</v>
      </c>
      <c r="J58" s="11" t="s">
        <v>9</v>
      </c>
      <c r="K58" s="7">
        <f>SUM(K46:K57)*$E$17</f>
        <v>1649.5476666666671</v>
      </c>
      <c r="L58" s="18"/>
      <c r="M58" s="858"/>
      <c r="N58" s="39" t="s">
        <v>13</v>
      </c>
      <c r="O58" s="9" t="s">
        <v>115</v>
      </c>
      <c r="P58" s="11" t="s">
        <v>12</v>
      </c>
      <c r="Q58" s="6" t="s">
        <v>9</v>
      </c>
      <c r="R58" s="9" t="s">
        <v>9</v>
      </c>
      <c r="S58" s="11" t="s">
        <v>9</v>
      </c>
      <c r="T58" s="7">
        <f>SUM(T46:T57)*$E$17</f>
        <v>2292.9216666666666</v>
      </c>
      <c r="U58" s="787"/>
      <c r="V58" s="858"/>
      <c r="W58" s="39" t="s">
        <v>13</v>
      </c>
      <c r="X58" s="9" t="s">
        <v>116</v>
      </c>
      <c r="Y58" s="28" t="s">
        <v>12</v>
      </c>
      <c r="Z58" s="6" t="s">
        <v>9</v>
      </c>
      <c r="AA58" s="9" t="s">
        <v>9</v>
      </c>
      <c r="AB58" s="11" t="s">
        <v>9</v>
      </c>
      <c r="AC58" s="7">
        <f>SUM(AC46:AC57)*$E$17</f>
        <v>2301.0154999999991</v>
      </c>
    </row>
    <row r="59" spans="2:29" ht="15" customHeight="1" thickBot="1" x14ac:dyDescent="0.25">
      <c r="B59" s="758"/>
      <c r="D59" s="859"/>
      <c r="E59" s="71"/>
      <c r="F59" s="71"/>
      <c r="G59" s="29"/>
      <c r="H59" s="29"/>
      <c r="I59" s="29"/>
      <c r="J59" s="43" t="s">
        <v>118</v>
      </c>
      <c r="K59" s="37">
        <f>SUM(K46:K58)</f>
        <v>18145.024333333335</v>
      </c>
      <c r="L59" s="18"/>
      <c r="M59" s="859"/>
      <c r="N59" s="71"/>
      <c r="O59" s="71"/>
      <c r="P59" s="29"/>
      <c r="Q59" s="29"/>
      <c r="R59" s="29"/>
      <c r="S59" s="43" t="s">
        <v>118</v>
      </c>
      <c r="T59" s="37">
        <f>SUM(T46:T58)</f>
        <v>25222.138333333332</v>
      </c>
      <c r="U59" s="787"/>
      <c r="V59" s="859"/>
      <c r="W59" s="71"/>
      <c r="X59" s="71"/>
      <c r="Y59" s="29"/>
      <c r="Z59" s="29"/>
      <c r="AA59" s="29"/>
      <c r="AB59" s="43" t="s">
        <v>118</v>
      </c>
      <c r="AC59" s="37">
        <f>SUM(AC46:AC58)</f>
        <v>25311.170499999989</v>
      </c>
    </row>
    <row r="60" spans="2:29" ht="15" customHeight="1" thickBot="1" x14ac:dyDescent="0.25">
      <c r="B60" s="758"/>
      <c r="U60" s="787"/>
    </row>
    <row r="61" spans="2:29" ht="15" customHeight="1" x14ac:dyDescent="0.2">
      <c r="B61" s="758"/>
      <c r="D61" s="770" t="s">
        <v>36</v>
      </c>
      <c r="E61" s="72" t="s">
        <v>4</v>
      </c>
      <c r="F61" s="72" t="s">
        <v>35</v>
      </c>
      <c r="G61" s="72" t="s">
        <v>5</v>
      </c>
      <c r="H61" s="72" t="s">
        <v>77</v>
      </c>
      <c r="I61" s="72" t="s">
        <v>31</v>
      </c>
      <c r="J61" s="72" t="s">
        <v>29</v>
      </c>
      <c r="K61" s="73" t="s">
        <v>32</v>
      </c>
      <c r="L61" s="13"/>
      <c r="M61" s="869" t="s">
        <v>36</v>
      </c>
      <c r="N61" s="72" t="s">
        <v>4</v>
      </c>
      <c r="O61" s="72" t="s">
        <v>35</v>
      </c>
      <c r="P61" s="72" t="s">
        <v>5</v>
      </c>
      <c r="Q61" s="72" t="s">
        <v>77</v>
      </c>
      <c r="R61" s="72" t="s">
        <v>31</v>
      </c>
      <c r="S61" s="72" t="s">
        <v>29</v>
      </c>
      <c r="T61" s="73" t="s">
        <v>32</v>
      </c>
      <c r="U61" s="38"/>
      <c r="V61" s="869" t="s">
        <v>36</v>
      </c>
      <c r="W61" s="72" t="s">
        <v>4</v>
      </c>
      <c r="X61" s="72" t="s">
        <v>35</v>
      </c>
      <c r="Y61" s="72" t="s">
        <v>5</v>
      </c>
      <c r="Z61" s="72" t="s">
        <v>77</v>
      </c>
      <c r="AA61" s="72" t="s">
        <v>31</v>
      </c>
      <c r="AB61" s="72" t="s">
        <v>29</v>
      </c>
      <c r="AC61" s="73" t="s">
        <v>32</v>
      </c>
    </row>
    <row r="62" spans="2:29" x14ac:dyDescent="0.2">
      <c r="B62" s="758"/>
      <c r="D62" s="773"/>
      <c r="E62" s="27" t="s">
        <v>43</v>
      </c>
      <c r="F62" s="9" t="s">
        <v>75</v>
      </c>
      <c r="G62" s="9" t="s">
        <v>7</v>
      </c>
      <c r="H62" s="45">
        <f>(E9/J5)</f>
        <v>0.77777777777777779</v>
      </c>
      <c r="I62" s="31">
        <f>($J$6+$J$8)*H62</f>
        <v>1283.3333333333333</v>
      </c>
      <c r="J62" s="31">
        <f>($F$35+$F$36)*H62</f>
        <v>63.7</v>
      </c>
      <c r="K62" s="36">
        <f>I62+J62</f>
        <v>1347.0333333333333</v>
      </c>
      <c r="L62" s="19"/>
      <c r="M62" s="858"/>
      <c r="N62" s="27" t="s">
        <v>54</v>
      </c>
      <c r="O62" s="9" t="s">
        <v>115</v>
      </c>
      <c r="P62" s="9" t="s">
        <v>7</v>
      </c>
      <c r="Q62" s="45">
        <f>F9/K5</f>
        <v>0.77777777777777779</v>
      </c>
      <c r="R62" s="31">
        <f>($K$6+$K$8)*Q62</f>
        <v>1283.3333333333333</v>
      </c>
      <c r="S62" s="31">
        <f>(($F$35*$E$35)+($F$36*$E$36))*Q62</f>
        <v>63.7</v>
      </c>
      <c r="T62" s="36">
        <f>R62+S62</f>
        <v>1347.0333333333333</v>
      </c>
      <c r="U62" s="38"/>
      <c r="V62" s="858"/>
      <c r="W62" s="27" t="s">
        <v>60</v>
      </c>
      <c r="X62" s="9" t="s">
        <v>116</v>
      </c>
      <c r="Y62" s="9" t="s">
        <v>7</v>
      </c>
      <c r="Z62" s="45">
        <f>G9/L5</f>
        <v>0</v>
      </c>
      <c r="AA62" s="9">
        <f>($L$6+$L$8)*Z62</f>
        <v>0</v>
      </c>
      <c r="AB62" s="64">
        <f>($F$39+$F$40)*Z62</f>
        <v>0</v>
      </c>
      <c r="AC62" s="36">
        <f>AA62+AB62</f>
        <v>0</v>
      </c>
    </row>
    <row r="63" spans="2:29" ht="15" customHeight="1" x14ac:dyDescent="0.2">
      <c r="B63" s="758"/>
      <c r="D63" s="773"/>
      <c r="E63" s="56" t="s">
        <v>106</v>
      </c>
      <c r="F63" s="9" t="s">
        <v>75</v>
      </c>
      <c r="G63" s="9" t="s">
        <v>12</v>
      </c>
      <c r="H63" s="47">
        <f>E19</f>
        <v>1</v>
      </c>
      <c r="I63" s="31">
        <f>($J$6+$J$8)*H63</f>
        <v>1650</v>
      </c>
      <c r="J63" s="31">
        <f>(($F$33*$E$33)+($F$34*$E$34)+($F$35*$E$35)+($F$36*$E$36))*H63</f>
        <v>217.86</v>
      </c>
      <c r="K63" s="36">
        <f t="shared" ref="K63:K68" si="12">I63+J63</f>
        <v>1867.8600000000001</v>
      </c>
      <c r="L63" s="19"/>
      <c r="M63" s="858"/>
      <c r="N63" s="56" t="s">
        <v>106</v>
      </c>
      <c r="O63" s="9" t="s">
        <v>115</v>
      </c>
      <c r="P63" s="9" t="s">
        <v>12</v>
      </c>
      <c r="Q63" s="47">
        <f>E19</f>
        <v>1</v>
      </c>
      <c r="R63" s="31">
        <f t="shared" ref="R63:R68" si="13">($K$6+$K$8)*Q63</f>
        <v>1650</v>
      </c>
      <c r="S63" s="31">
        <f>(($F$33*$E$33)+($F$34*$E$34)+($F$35*$E$35)+($F$36*$E$36))*Q63</f>
        <v>217.86</v>
      </c>
      <c r="T63" s="36">
        <f t="shared" ref="T63:T68" si="14">R63+S63</f>
        <v>1867.8600000000001</v>
      </c>
      <c r="U63" s="38"/>
      <c r="V63" s="858"/>
      <c r="W63" s="56" t="s">
        <v>106</v>
      </c>
      <c r="X63" s="9" t="s">
        <v>116</v>
      </c>
      <c r="Y63" s="9" t="s">
        <v>12</v>
      </c>
      <c r="Z63" s="47">
        <f>E19</f>
        <v>1</v>
      </c>
      <c r="AA63" s="9">
        <f t="shared" ref="AA63:AA67" si="15">($L$6+$L$8)*Z63</f>
        <v>1347.9166666666665</v>
      </c>
      <c r="AB63" s="31">
        <f>(($F$37*$E$37)+($F$38*$E$38)+($F$39*$E$39)+($F$40*$E$40))*Z63</f>
        <v>217.4</v>
      </c>
      <c r="AC63" s="36">
        <f t="shared" ref="AC63:AC68" si="16">AA63+AB63</f>
        <v>1565.3166666666666</v>
      </c>
    </row>
    <row r="64" spans="2:29" x14ac:dyDescent="0.2">
      <c r="B64" s="758"/>
      <c r="D64" s="773"/>
      <c r="E64" s="27" t="s">
        <v>42</v>
      </c>
      <c r="F64" s="9" t="s">
        <v>75</v>
      </c>
      <c r="G64" s="9" t="s">
        <v>8</v>
      </c>
      <c r="H64" s="45">
        <f>(E13/J5)</f>
        <v>0.94444444444444442</v>
      </c>
      <c r="I64" s="31">
        <f t="shared" ref="I64:I68" si="17">($J$6+$J$8)*H64</f>
        <v>1558.3333333333333</v>
      </c>
      <c r="J64" s="31">
        <f>(($F$33*$E$33)+($F$34*$E$34)+($F$35*$E$35)+($F$36*$E$36))*H64</f>
        <v>205.75666666666666</v>
      </c>
      <c r="K64" s="36">
        <f t="shared" si="12"/>
        <v>1764.09</v>
      </c>
      <c r="L64" s="19"/>
      <c r="M64" s="858"/>
      <c r="N64" s="27" t="s">
        <v>55</v>
      </c>
      <c r="O64" s="9" t="s">
        <v>115</v>
      </c>
      <c r="P64" s="9" t="s">
        <v>8</v>
      </c>
      <c r="Q64" s="45">
        <f>F13/K5</f>
        <v>2.6666666666666665</v>
      </c>
      <c r="R64" s="31">
        <f>($K$6+$K$8)*Q64</f>
        <v>4400</v>
      </c>
      <c r="S64" s="31">
        <f>(($F$33*$E$33)+($F$34*$E$34)+($F$35*$E$35)+($F$36*$E$36))*Q64</f>
        <v>580.96</v>
      </c>
      <c r="T64" s="36">
        <f t="shared" si="14"/>
        <v>4980.96</v>
      </c>
      <c r="U64" s="38"/>
      <c r="V64" s="858"/>
      <c r="W64" s="27" t="s">
        <v>58</v>
      </c>
      <c r="X64" s="9" t="s">
        <v>116</v>
      </c>
      <c r="Y64" s="9" t="s">
        <v>8</v>
      </c>
      <c r="Z64" s="45">
        <f>G13/L5</f>
        <v>4.5999999999999996</v>
      </c>
      <c r="AA64" s="9">
        <f t="shared" si="15"/>
        <v>6200.4166666666652</v>
      </c>
      <c r="AB64" s="31">
        <f>(($F$37*$E$37)+($F$38*$E$38)+($F$39*$E$39)+($F$40*$E$40))*Z64</f>
        <v>1000.04</v>
      </c>
      <c r="AC64" s="36">
        <f t="shared" si="16"/>
        <v>7200.4566666666651</v>
      </c>
    </row>
    <row r="65" spans="2:29" x14ac:dyDescent="0.2">
      <c r="B65" s="758"/>
      <c r="D65" s="773"/>
      <c r="E65" s="27" t="s">
        <v>49</v>
      </c>
      <c r="F65" s="9" t="s">
        <v>75</v>
      </c>
      <c r="G65" s="9" t="s">
        <v>10</v>
      </c>
      <c r="H65" s="45">
        <f>E26</f>
        <v>6</v>
      </c>
      <c r="I65" s="31">
        <f t="shared" si="17"/>
        <v>9900</v>
      </c>
      <c r="J65" s="31">
        <f>(($F$33*$E$33)+($F$34*$E$34)+($F$35*$E$35)+($F$36*$E$36))*H65</f>
        <v>1307.1600000000001</v>
      </c>
      <c r="K65" s="36">
        <f t="shared" si="12"/>
        <v>11207.16</v>
      </c>
      <c r="L65" s="19"/>
      <c r="M65" s="858"/>
      <c r="N65" s="27" t="s">
        <v>49</v>
      </c>
      <c r="O65" s="9" t="s">
        <v>115</v>
      </c>
      <c r="P65" s="9" t="s">
        <v>10</v>
      </c>
      <c r="Q65" s="45">
        <f>E26</f>
        <v>6</v>
      </c>
      <c r="R65" s="31">
        <f t="shared" si="13"/>
        <v>9900</v>
      </c>
      <c r="S65" s="31">
        <f>(($F$33*$E$33)+($F$34*$E$34)+($F$35*$E$35)+($F$36*$E$36))*Q65</f>
        <v>1307.1600000000001</v>
      </c>
      <c r="T65" s="36">
        <f t="shared" si="14"/>
        <v>11207.16</v>
      </c>
      <c r="U65" s="38"/>
      <c r="V65" s="858"/>
      <c r="W65" s="27" t="s">
        <v>49</v>
      </c>
      <c r="X65" s="9" t="s">
        <v>116</v>
      </c>
      <c r="Y65" s="9" t="s">
        <v>10</v>
      </c>
      <c r="Z65" s="45">
        <f>E26</f>
        <v>6</v>
      </c>
      <c r="AA65" s="9">
        <f t="shared" si="15"/>
        <v>8087.4999999999991</v>
      </c>
      <c r="AB65" s="31">
        <f>(($F$37*$E$37)+($F$38*$E$38)+($F$39*$E$39)+($F$40*$E$40))*Z65</f>
        <v>1304.4000000000001</v>
      </c>
      <c r="AC65" s="36">
        <f t="shared" si="16"/>
        <v>9391.9</v>
      </c>
    </row>
    <row r="66" spans="2:29" x14ac:dyDescent="0.2">
      <c r="B66" s="758"/>
      <c r="D66" s="773"/>
      <c r="E66" s="27" t="s">
        <v>11</v>
      </c>
      <c r="F66" s="9" t="s">
        <v>75</v>
      </c>
      <c r="G66" s="9" t="s">
        <v>12</v>
      </c>
      <c r="H66" s="45">
        <f>E28</f>
        <v>1</v>
      </c>
      <c r="I66" s="31">
        <f t="shared" si="17"/>
        <v>1650</v>
      </c>
      <c r="J66" s="31">
        <f>(($F$33*$E$33)+($F$34*$E$34)+($F$35*$E$35)+($F$36*$E$36))*H66</f>
        <v>217.86</v>
      </c>
      <c r="K66" s="36">
        <f t="shared" si="12"/>
        <v>1867.8600000000001</v>
      </c>
      <c r="L66" s="19"/>
      <c r="M66" s="858"/>
      <c r="N66" s="27" t="s">
        <v>11</v>
      </c>
      <c r="O66" s="9" t="s">
        <v>115</v>
      </c>
      <c r="P66" s="9" t="s">
        <v>12</v>
      </c>
      <c r="Q66" s="45">
        <f>E28</f>
        <v>1</v>
      </c>
      <c r="R66" s="31">
        <f t="shared" si="13"/>
        <v>1650</v>
      </c>
      <c r="S66" s="31">
        <f>(($F$33*$E$33)+($F$34*$E$34)+($F$35*$E$35)+($F$36*$E$36))*Q66</f>
        <v>217.86</v>
      </c>
      <c r="T66" s="36">
        <f t="shared" si="14"/>
        <v>1867.8600000000001</v>
      </c>
      <c r="U66" s="38"/>
      <c r="V66" s="858"/>
      <c r="W66" s="27" t="s">
        <v>11</v>
      </c>
      <c r="X66" s="9" t="s">
        <v>116</v>
      </c>
      <c r="Y66" s="9" t="s">
        <v>12</v>
      </c>
      <c r="Z66" s="45">
        <f>E28</f>
        <v>1</v>
      </c>
      <c r="AA66" s="9">
        <f t="shared" si="15"/>
        <v>1347.9166666666665</v>
      </c>
      <c r="AB66" s="31">
        <f>(($F$37*$E$37)+($F$38*$E$38)+($F$39*$E$39)+($F$40*$E$40))*Z66</f>
        <v>217.4</v>
      </c>
      <c r="AC66" s="36">
        <f t="shared" si="16"/>
        <v>1565.3166666666666</v>
      </c>
    </row>
    <row r="67" spans="2:29" ht="15" customHeight="1" x14ac:dyDescent="0.2">
      <c r="B67" s="758"/>
      <c r="D67" s="773"/>
      <c r="E67" s="27" t="s">
        <v>45</v>
      </c>
      <c r="F67" s="9" t="s">
        <v>75</v>
      </c>
      <c r="G67" s="9" t="s">
        <v>8</v>
      </c>
      <c r="H67" s="45">
        <f>H64</f>
        <v>0.94444444444444442</v>
      </c>
      <c r="I67" s="31">
        <f t="shared" si="17"/>
        <v>1558.3333333333333</v>
      </c>
      <c r="J67" s="31">
        <f>(($F$33*$E$33)+($F$34*$E$34)+($F$35*$E$35)+($F$36*$E$36))*H67</f>
        <v>205.75666666666666</v>
      </c>
      <c r="K67" s="36">
        <f t="shared" si="12"/>
        <v>1764.09</v>
      </c>
      <c r="L67" s="19"/>
      <c r="M67" s="858"/>
      <c r="N67" s="27" t="s">
        <v>56</v>
      </c>
      <c r="O67" s="9" t="s">
        <v>115</v>
      </c>
      <c r="P67" s="9" t="s">
        <v>8</v>
      </c>
      <c r="Q67" s="45">
        <f>Q64</f>
        <v>2.6666666666666665</v>
      </c>
      <c r="R67" s="31">
        <f t="shared" si="13"/>
        <v>4400</v>
      </c>
      <c r="S67" s="31">
        <f>(($F$33*$E$33)+($F$34*$E$34)+($F$35*$E$35)+($F$36*$E$36))*Q67</f>
        <v>580.96</v>
      </c>
      <c r="T67" s="36">
        <f t="shared" si="14"/>
        <v>4980.96</v>
      </c>
      <c r="U67" s="38"/>
      <c r="V67" s="858"/>
      <c r="W67" s="27" t="s">
        <v>59</v>
      </c>
      <c r="X67" s="9" t="s">
        <v>116</v>
      </c>
      <c r="Y67" s="9" t="s">
        <v>8</v>
      </c>
      <c r="Z67" s="45">
        <f>Z64</f>
        <v>4.5999999999999996</v>
      </c>
      <c r="AA67" s="9">
        <f t="shared" si="15"/>
        <v>6200.4166666666652</v>
      </c>
      <c r="AB67" s="31">
        <f>(($F$37*$E$37)+($F$38*$E$38)+($F$39*$E$39)+($F$40*$E$40))*Z67</f>
        <v>1000.04</v>
      </c>
      <c r="AC67" s="36">
        <f t="shared" si="16"/>
        <v>7200.4566666666651</v>
      </c>
    </row>
    <row r="68" spans="2:29" ht="15" customHeight="1" x14ac:dyDescent="0.2">
      <c r="B68" s="758"/>
      <c r="D68" s="773"/>
      <c r="E68" s="27" t="s">
        <v>44</v>
      </c>
      <c r="F68" s="9" t="s">
        <v>75</v>
      </c>
      <c r="G68" s="9" t="s">
        <v>7</v>
      </c>
      <c r="H68" s="45">
        <f>H62</f>
        <v>0.77777777777777779</v>
      </c>
      <c r="I68" s="31">
        <f t="shared" si="17"/>
        <v>1283.3333333333333</v>
      </c>
      <c r="J68" s="31">
        <f>($F$35+$F$36)*H68</f>
        <v>63.7</v>
      </c>
      <c r="K68" s="36">
        <f t="shared" si="12"/>
        <v>1347.0333333333333</v>
      </c>
      <c r="L68" s="18"/>
      <c r="M68" s="858"/>
      <c r="N68" s="27" t="s">
        <v>57</v>
      </c>
      <c r="O68" s="9" t="s">
        <v>115</v>
      </c>
      <c r="P68" s="9" t="s">
        <v>7</v>
      </c>
      <c r="Q68" s="45">
        <f>Q62</f>
        <v>0.77777777777777779</v>
      </c>
      <c r="R68" s="31">
        <f t="shared" si="13"/>
        <v>1283.3333333333333</v>
      </c>
      <c r="S68" s="31">
        <f>(($F$35*$E$35)+($F$36*$E$36))*Q68</f>
        <v>63.7</v>
      </c>
      <c r="T68" s="36">
        <f t="shared" si="14"/>
        <v>1347.0333333333333</v>
      </c>
      <c r="U68" s="38"/>
      <c r="V68" s="858"/>
      <c r="W68" s="27" t="s">
        <v>61</v>
      </c>
      <c r="X68" s="9" t="s">
        <v>116</v>
      </c>
      <c r="Y68" s="9" t="s">
        <v>7</v>
      </c>
      <c r="Z68" s="45">
        <f>Z62</f>
        <v>0</v>
      </c>
      <c r="AA68" s="9">
        <f>AA62</f>
        <v>0</v>
      </c>
      <c r="AB68" s="64">
        <f>AB62</f>
        <v>0</v>
      </c>
      <c r="AC68" s="36">
        <f t="shared" si="16"/>
        <v>0</v>
      </c>
    </row>
    <row r="69" spans="2:29" x14ac:dyDescent="0.2">
      <c r="B69" s="758"/>
      <c r="D69" s="773"/>
      <c r="E69" s="27" t="s">
        <v>13</v>
      </c>
      <c r="F69" s="9" t="s">
        <v>75</v>
      </c>
      <c r="G69" s="9" t="s">
        <v>12</v>
      </c>
      <c r="H69" s="6" t="s">
        <v>9</v>
      </c>
      <c r="I69" s="9" t="s">
        <v>9</v>
      </c>
      <c r="J69" s="9" t="s">
        <v>9</v>
      </c>
      <c r="K69" s="36">
        <f>SUM(K62:K68)*$E$17</f>
        <v>2116.512666666667</v>
      </c>
      <c r="L69" s="21"/>
      <c r="M69" s="858"/>
      <c r="N69" s="27" t="s">
        <v>13</v>
      </c>
      <c r="O69" s="9" t="s">
        <v>115</v>
      </c>
      <c r="P69" s="9" t="s">
        <v>12</v>
      </c>
      <c r="Q69" s="6" t="s">
        <v>9</v>
      </c>
      <c r="R69" s="9" t="s">
        <v>9</v>
      </c>
      <c r="S69" s="9" t="s">
        <v>9</v>
      </c>
      <c r="T69" s="36">
        <f>SUM(T62:T68)*$E$17</f>
        <v>2759.8866666666668</v>
      </c>
      <c r="U69" s="38"/>
      <c r="V69" s="858"/>
      <c r="W69" s="27" t="s">
        <v>13</v>
      </c>
      <c r="X69" s="9" t="s">
        <v>116</v>
      </c>
      <c r="Y69" s="9" t="s">
        <v>12</v>
      </c>
      <c r="Z69" s="6" t="s">
        <v>9</v>
      </c>
      <c r="AA69" s="9" t="s">
        <v>9</v>
      </c>
      <c r="AB69" s="9" t="s">
        <v>9</v>
      </c>
      <c r="AC69" s="58">
        <f>SUM(AC62:AC68)*$E$17</f>
        <v>2692.3446666666664</v>
      </c>
    </row>
    <row r="70" spans="2:29" ht="16" thickBot="1" x14ac:dyDescent="0.25">
      <c r="B70" s="758"/>
      <c r="D70" s="776"/>
      <c r="E70" s="74"/>
      <c r="F70" s="71"/>
      <c r="G70" s="29"/>
      <c r="H70" s="29"/>
      <c r="I70" s="29"/>
      <c r="J70" s="43" t="s">
        <v>48</v>
      </c>
      <c r="K70" s="37">
        <f>SUM(K62:K69)</f>
        <v>23281.639333333333</v>
      </c>
      <c r="L70" s="18"/>
      <c r="M70" s="859"/>
      <c r="N70" s="71"/>
      <c r="O70" s="71"/>
      <c r="P70" s="29"/>
      <c r="Q70" s="29"/>
      <c r="R70" s="29"/>
      <c r="S70" s="43" t="s">
        <v>48</v>
      </c>
      <c r="T70" s="37">
        <f>SUM(T62:T69)</f>
        <v>30358.75333333333</v>
      </c>
      <c r="U70" s="38"/>
      <c r="V70" s="859"/>
      <c r="W70" s="71"/>
      <c r="X70" s="71"/>
      <c r="Y70" s="29"/>
      <c r="Z70" s="29"/>
      <c r="AA70" s="29"/>
      <c r="AB70" s="43" t="s">
        <v>48</v>
      </c>
      <c r="AC70" s="37">
        <f>SUM(AC62:AC69)</f>
        <v>29615.791333333331</v>
      </c>
    </row>
    <row r="71" spans="2:29" ht="16" thickBot="1" x14ac:dyDescent="0.25">
      <c r="B71" s="758"/>
      <c r="D71" s="38"/>
      <c r="E71" s="69"/>
      <c r="F71" s="60"/>
      <c r="G71" s="60"/>
      <c r="H71" s="51"/>
      <c r="I71" s="51"/>
      <c r="J71" s="18"/>
      <c r="K71" s="19"/>
      <c r="L71" s="18"/>
      <c r="U71" s="38"/>
    </row>
    <row r="72" spans="2:29" x14ac:dyDescent="0.2">
      <c r="B72" s="758"/>
      <c r="D72" s="770" t="s">
        <v>37</v>
      </c>
      <c r="E72" s="72" t="s">
        <v>4</v>
      </c>
      <c r="F72" s="72" t="s">
        <v>35</v>
      </c>
      <c r="G72" s="75" t="s">
        <v>5</v>
      </c>
      <c r="H72" s="72" t="s">
        <v>6</v>
      </c>
      <c r="I72" s="72" t="s">
        <v>31</v>
      </c>
      <c r="J72" s="75" t="s">
        <v>29</v>
      </c>
      <c r="K72" s="76" t="s">
        <v>32</v>
      </c>
      <c r="L72" s="18"/>
      <c r="M72" s="869" t="s">
        <v>37</v>
      </c>
      <c r="N72" s="78" t="s">
        <v>4</v>
      </c>
      <c r="O72" s="72" t="s">
        <v>35</v>
      </c>
      <c r="P72" s="75" t="s">
        <v>5</v>
      </c>
      <c r="Q72" s="72" t="s">
        <v>6</v>
      </c>
      <c r="R72" s="72" t="s">
        <v>31</v>
      </c>
      <c r="S72" s="75" t="s">
        <v>29</v>
      </c>
      <c r="T72" s="76" t="s">
        <v>32</v>
      </c>
      <c r="U72" s="38"/>
      <c r="V72" s="869" t="s">
        <v>37</v>
      </c>
      <c r="W72" s="78" t="s">
        <v>4</v>
      </c>
      <c r="X72" s="72" t="s">
        <v>35</v>
      </c>
      <c r="Y72" s="75" t="s">
        <v>5</v>
      </c>
      <c r="Z72" s="72" t="s">
        <v>77</v>
      </c>
      <c r="AA72" s="72" t="s">
        <v>31</v>
      </c>
      <c r="AB72" s="75" t="s">
        <v>29</v>
      </c>
      <c r="AC72" s="76" t="s">
        <v>32</v>
      </c>
    </row>
    <row r="73" spans="2:29" x14ac:dyDescent="0.2">
      <c r="B73" s="758"/>
      <c r="D73" s="773"/>
      <c r="E73" s="27" t="s">
        <v>43</v>
      </c>
      <c r="F73" s="9" t="s">
        <v>75</v>
      </c>
      <c r="G73" s="9" t="s">
        <v>7</v>
      </c>
      <c r="H73" s="46">
        <f>(E9/J5)</f>
        <v>0.77777777777777779</v>
      </c>
      <c r="I73" s="31">
        <f>($J$6+$J$8)*H73</f>
        <v>1283.3333333333333</v>
      </c>
      <c r="J73" s="16">
        <f>($F$35+$F$36)*H73</f>
        <v>63.7</v>
      </c>
      <c r="K73" s="7">
        <f>I73+J73</f>
        <v>1347.0333333333333</v>
      </c>
      <c r="L73" s="18"/>
      <c r="M73" s="858"/>
      <c r="N73" s="39" t="s">
        <v>54</v>
      </c>
      <c r="O73" s="9" t="s">
        <v>115</v>
      </c>
      <c r="P73" s="9" t="s">
        <v>7</v>
      </c>
      <c r="Q73" s="46">
        <f>F9/K5</f>
        <v>0.77777777777777779</v>
      </c>
      <c r="R73" s="31">
        <f>($K$6+$K$8)*Q73</f>
        <v>1283.3333333333333</v>
      </c>
      <c r="S73" s="16">
        <f>(($F$35*$E$35)+($F$36*$E$36))*Q73</f>
        <v>63.7</v>
      </c>
      <c r="T73" s="7">
        <f>R73+S73</f>
        <v>1347.0333333333333</v>
      </c>
      <c r="U73" s="38"/>
      <c r="V73" s="858"/>
      <c r="W73" s="39" t="s">
        <v>60</v>
      </c>
      <c r="X73" s="9" t="s">
        <v>116</v>
      </c>
      <c r="Y73" s="9" t="s">
        <v>7</v>
      </c>
      <c r="Z73" s="46">
        <f>G9/L5</f>
        <v>0</v>
      </c>
      <c r="AA73" s="9">
        <f>($L$6+$L$8)*Z73</f>
        <v>0</v>
      </c>
      <c r="AB73" s="79">
        <f>($F$39+$F$40)*Z73</f>
        <v>0</v>
      </c>
      <c r="AC73" s="7">
        <f>AA73+AB73</f>
        <v>0</v>
      </c>
    </row>
    <row r="74" spans="2:29" x14ac:dyDescent="0.2">
      <c r="B74" s="758"/>
      <c r="D74" s="773"/>
      <c r="E74" s="56" t="s">
        <v>105</v>
      </c>
      <c r="F74" s="9" t="s">
        <v>75</v>
      </c>
      <c r="G74" s="11" t="s">
        <v>12</v>
      </c>
      <c r="H74" s="47">
        <f>E19</f>
        <v>1</v>
      </c>
      <c r="I74" s="31">
        <f t="shared" ref="I74:I79" si="18">($J$6+$J$8)*H74</f>
        <v>1650</v>
      </c>
      <c r="J74" s="16">
        <f>(($F$33*$E$33)+($F$34*$E$34)+($F$35*$E$35)+($F$36*$E$36))*H74</f>
        <v>217.86</v>
      </c>
      <c r="K74" s="7">
        <f t="shared" ref="K74:K79" si="19">I74+J74</f>
        <v>1867.8600000000001</v>
      </c>
      <c r="L74" s="18"/>
      <c r="M74" s="858"/>
      <c r="N74" s="56" t="s">
        <v>105</v>
      </c>
      <c r="O74" s="9" t="s">
        <v>115</v>
      </c>
      <c r="P74" s="9" t="s">
        <v>12</v>
      </c>
      <c r="Q74" s="3">
        <f>E19</f>
        <v>1</v>
      </c>
      <c r="R74" s="31">
        <f t="shared" ref="R74:R79" si="20">($K$6+$K$8)*Q74</f>
        <v>1650</v>
      </c>
      <c r="S74" s="16">
        <f>(($F$33*$E$33)+($F$34*$E$34)+($F$35*$E$35)+($F$36*$E$36))*Q74</f>
        <v>217.86</v>
      </c>
      <c r="T74" s="7">
        <f t="shared" ref="T74:T79" si="21">R74+S74</f>
        <v>1867.8600000000001</v>
      </c>
      <c r="U74" s="38"/>
      <c r="V74" s="858"/>
      <c r="W74" s="56" t="s">
        <v>105</v>
      </c>
      <c r="X74" s="9" t="s">
        <v>116</v>
      </c>
      <c r="Y74" s="9" t="s">
        <v>12</v>
      </c>
      <c r="Z74" s="3">
        <f>E19</f>
        <v>1</v>
      </c>
      <c r="AA74" s="9">
        <f t="shared" ref="AA74:AA78" si="22">($L$6+$L$8)*Z74</f>
        <v>1347.9166666666665</v>
      </c>
      <c r="AB74" s="16">
        <f>(($F$37*$E$37)+($F$38*$E$38)+($F$39*$E$39)+($F$40*$E$40))*Z74</f>
        <v>217.4</v>
      </c>
      <c r="AC74" s="7">
        <f t="shared" ref="AC74:AC79" si="23">AA74+AB74</f>
        <v>1565.3166666666666</v>
      </c>
    </row>
    <row r="75" spans="2:29" x14ac:dyDescent="0.2">
      <c r="B75" s="758"/>
      <c r="D75" s="773"/>
      <c r="E75" s="27" t="s">
        <v>42</v>
      </c>
      <c r="F75" s="9" t="s">
        <v>75</v>
      </c>
      <c r="G75" s="11" t="s">
        <v>8</v>
      </c>
      <c r="H75" s="45">
        <f>(E13/J5)</f>
        <v>0.94444444444444442</v>
      </c>
      <c r="I75" s="31">
        <f t="shared" si="18"/>
        <v>1558.3333333333333</v>
      </c>
      <c r="J75" s="16">
        <f>(($F$33*$E$33)+($F$34*$E$34)+($F$35*$E$35)+($F$36*$E$36))*H75</f>
        <v>205.75666666666666</v>
      </c>
      <c r="K75" s="7">
        <f t="shared" si="19"/>
        <v>1764.09</v>
      </c>
      <c r="L75" s="18"/>
      <c r="M75" s="858"/>
      <c r="N75" s="39" t="s">
        <v>55</v>
      </c>
      <c r="O75" s="9" t="s">
        <v>115</v>
      </c>
      <c r="P75" s="9" t="s">
        <v>8</v>
      </c>
      <c r="Q75" s="45">
        <f>F13/K5</f>
        <v>2.6666666666666665</v>
      </c>
      <c r="R75" s="31">
        <f t="shared" si="20"/>
        <v>4400</v>
      </c>
      <c r="S75" s="16">
        <f>(($F$33*$E$33)+($F$34*$E$34)+($F$35*$E$35)+($F$36*$E$36))*Q75</f>
        <v>580.96</v>
      </c>
      <c r="T75" s="7">
        <f t="shared" si="21"/>
        <v>4980.96</v>
      </c>
      <c r="U75" s="38"/>
      <c r="V75" s="858"/>
      <c r="W75" s="39" t="s">
        <v>58</v>
      </c>
      <c r="X75" s="9" t="s">
        <v>116</v>
      </c>
      <c r="Y75" s="9" t="s">
        <v>8</v>
      </c>
      <c r="Z75" s="45">
        <f>G13/L5</f>
        <v>4.5999999999999996</v>
      </c>
      <c r="AA75" s="9">
        <f t="shared" si="22"/>
        <v>6200.4166666666652</v>
      </c>
      <c r="AB75" s="16">
        <f>(($F$37*$E$37)+($F$38*$E$38)+($F$39*$E$39)+($F$40*$E$40))*Z75</f>
        <v>1000.04</v>
      </c>
      <c r="AC75" s="7">
        <f t="shared" si="23"/>
        <v>7200.4566666666651</v>
      </c>
    </row>
    <row r="76" spans="2:29" ht="15" customHeight="1" x14ac:dyDescent="0.2">
      <c r="B76" s="758"/>
      <c r="D76" s="773"/>
      <c r="E76" s="27" t="s">
        <v>50</v>
      </c>
      <c r="F76" s="9" t="s">
        <v>75</v>
      </c>
      <c r="G76" s="11" t="s">
        <v>10</v>
      </c>
      <c r="H76" s="45">
        <f>E27</f>
        <v>5</v>
      </c>
      <c r="I76" s="31">
        <f t="shared" si="18"/>
        <v>8250</v>
      </c>
      <c r="J76" s="16">
        <f>(($F$33*$E$33)+($F$34*$E$34)+($F$35*$E$35)+($F$36*$E$36))*H76</f>
        <v>1089.3000000000002</v>
      </c>
      <c r="K76" s="7">
        <f t="shared" si="19"/>
        <v>9339.2999999999993</v>
      </c>
      <c r="L76" s="18"/>
      <c r="M76" s="858"/>
      <c r="N76" s="39" t="s">
        <v>50</v>
      </c>
      <c r="O76" s="9" t="s">
        <v>115</v>
      </c>
      <c r="P76" s="9" t="s">
        <v>10</v>
      </c>
      <c r="Q76" s="45">
        <f>E27</f>
        <v>5</v>
      </c>
      <c r="R76" s="31">
        <f t="shared" si="20"/>
        <v>8250</v>
      </c>
      <c r="S76" s="16">
        <f>(($F$33*$E$33)+($F$34*$E$34)+($F$35*$E$35)+($F$36*$E$36))*Q76</f>
        <v>1089.3000000000002</v>
      </c>
      <c r="T76" s="7">
        <f t="shared" si="21"/>
        <v>9339.2999999999993</v>
      </c>
      <c r="U76" s="38"/>
      <c r="V76" s="858"/>
      <c r="W76" s="39" t="s">
        <v>50</v>
      </c>
      <c r="X76" s="9" t="s">
        <v>116</v>
      </c>
      <c r="Y76" s="9" t="s">
        <v>10</v>
      </c>
      <c r="Z76" s="45">
        <f>E27</f>
        <v>5</v>
      </c>
      <c r="AA76" s="9">
        <f t="shared" si="22"/>
        <v>6739.5833333333321</v>
      </c>
      <c r="AB76" s="16">
        <f>(($F$37*$E$37)+($F$38*$E$38)+($F$39*$E$39)+($F$40*$E$40))*Z76</f>
        <v>1087</v>
      </c>
      <c r="AC76" s="7">
        <f t="shared" si="23"/>
        <v>7826.5833333333321</v>
      </c>
    </row>
    <row r="77" spans="2:29" x14ac:dyDescent="0.2">
      <c r="B77" s="758"/>
      <c r="D77" s="773"/>
      <c r="E77" s="27" t="s">
        <v>11</v>
      </c>
      <c r="F77" s="9" t="s">
        <v>75</v>
      </c>
      <c r="G77" s="11" t="s">
        <v>12</v>
      </c>
      <c r="H77" s="45">
        <f>E28</f>
        <v>1</v>
      </c>
      <c r="I77" s="31">
        <f t="shared" si="18"/>
        <v>1650</v>
      </c>
      <c r="J77" s="16">
        <f>(($F$33*$E$33)+($F$34*$E$34)+($F$35*$E$35)+($F$36*$E$36))*H77</f>
        <v>217.86</v>
      </c>
      <c r="K77" s="7">
        <f t="shared" si="19"/>
        <v>1867.8600000000001</v>
      </c>
      <c r="L77" s="18"/>
      <c r="M77" s="858"/>
      <c r="N77" s="39" t="s">
        <v>11</v>
      </c>
      <c r="O77" s="9" t="s">
        <v>115</v>
      </c>
      <c r="P77" s="9" t="s">
        <v>12</v>
      </c>
      <c r="Q77" s="45">
        <f>E28</f>
        <v>1</v>
      </c>
      <c r="R77" s="31">
        <f t="shared" si="20"/>
        <v>1650</v>
      </c>
      <c r="S77" s="16">
        <f>(($F$33*$E$33)+($F$34*$E$34)+($F$35*$E$35)+($F$36*$E$36))*Q77</f>
        <v>217.86</v>
      </c>
      <c r="T77" s="7">
        <f t="shared" si="21"/>
        <v>1867.8600000000001</v>
      </c>
      <c r="U77" s="38"/>
      <c r="V77" s="858"/>
      <c r="W77" s="39" t="s">
        <v>11</v>
      </c>
      <c r="X77" s="9" t="s">
        <v>116</v>
      </c>
      <c r="Y77" s="9" t="s">
        <v>12</v>
      </c>
      <c r="Z77" s="45">
        <f>E28</f>
        <v>1</v>
      </c>
      <c r="AA77" s="9">
        <f t="shared" si="22"/>
        <v>1347.9166666666665</v>
      </c>
      <c r="AB77" s="16">
        <f>(($F$37*$E$37)+($F$38*$E$38)+($F$39*$E$39)+($F$40*$E$40))*Z77</f>
        <v>217.4</v>
      </c>
      <c r="AC77" s="7">
        <f t="shared" si="23"/>
        <v>1565.3166666666666</v>
      </c>
    </row>
    <row r="78" spans="2:29" x14ac:dyDescent="0.2">
      <c r="B78" s="758"/>
      <c r="D78" s="773"/>
      <c r="E78" s="27" t="s">
        <v>45</v>
      </c>
      <c r="F78" s="9" t="s">
        <v>75</v>
      </c>
      <c r="G78" s="11" t="s">
        <v>8</v>
      </c>
      <c r="H78" s="45">
        <f>H75</f>
        <v>0.94444444444444442</v>
      </c>
      <c r="I78" s="31">
        <f t="shared" si="18"/>
        <v>1558.3333333333333</v>
      </c>
      <c r="J78" s="16">
        <f>(($F$33*$E$33)+($F$34*$E$34)+($F$35*$E$35)+($F$36*$E$36))*H78</f>
        <v>205.75666666666666</v>
      </c>
      <c r="K78" s="7">
        <f t="shared" si="19"/>
        <v>1764.09</v>
      </c>
      <c r="L78" s="18"/>
      <c r="M78" s="858"/>
      <c r="N78" s="39" t="s">
        <v>56</v>
      </c>
      <c r="O78" s="9" t="s">
        <v>115</v>
      </c>
      <c r="P78" s="9" t="s">
        <v>8</v>
      </c>
      <c r="Q78" s="45">
        <f>Q75</f>
        <v>2.6666666666666665</v>
      </c>
      <c r="R78" s="31">
        <f t="shared" si="20"/>
        <v>4400</v>
      </c>
      <c r="S78" s="16">
        <f>(($F$33*$E$33)+($F$34*$E$34)+($F$35*$E$35)+($F$36*$E$36))*Q78</f>
        <v>580.96</v>
      </c>
      <c r="T78" s="7">
        <f t="shared" si="21"/>
        <v>4980.96</v>
      </c>
      <c r="U78" s="38"/>
      <c r="V78" s="858"/>
      <c r="W78" s="39" t="s">
        <v>59</v>
      </c>
      <c r="X78" s="9" t="s">
        <v>116</v>
      </c>
      <c r="Y78" s="9" t="s">
        <v>8</v>
      </c>
      <c r="Z78" s="45">
        <f>Z75</f>
        <v>4.5999999999999996</v>
      </c>
      <c r="AA78" s="9">
        <f t="shared" si="22"/>
        <v>6200.4166666666652</v>
      </c>
      <c r="AB78" s="16">
        <f>(($F$37*$E$37)+($F$38*$E$38)+($F$39*$E$39)+($F$40*$E$40))*Z78</f>
        <v>1000.04</v>
      </c>
      <c r="AC78" s="7">
        <f t="shared" si="23"/>
        <v>7200.4566666666651</v>
      </c>
    </row>
    <row r="79" spans="2:29" x14ac:dyDescent="0.2">
      <c r="B79" s="758"/>
      <c r="D79" s="773"/>
      <c r="E79" s="27" t="s">
        <v>44</v>
      </c>
      <c r="F79" s="9" t="s">
        <v>75</v>
      </c>
      <c r="G79" s="11" t="s">
        <v>7</v>
      </c>
      <c r="H79" s="45">
        <f>H73</f>
        <v>0.77777777777777779</v>
      </c>
      <c r="I79" s="31">
        <f t="shared" si="18"/>
        <v>1283.3333333333333</v>
      </c>
      <c r="J79" s="16">
        <f>($F$35+$F$36)*H79</f>
        <v>63.7</v>
      </c>
      <c r="K79" s="7">
        <f t="shared" si="19"/>
        <v>1347.0333333333333</v>
      </c>
      <c r="L79" s="13"/>
      <c r="M79" s="858"/>
      <c r="N79" s="39" t="s">
        <v>57</v>
      </c>
      <c r="O79" s="9" t="s">
        <v>115</v>
      </c>
      <c r="P79" s="9" t="s">
        <v>7</v>
      </c>
      <c r="Q79" s="45">
        <f>Q73</f>
        <v>0.77777777777777779</v>
      </c>
      <c r="R79" s="31">
        <f t="shared" si="20"/>
        <v>1283.3333333333333</v>
      </c>
      <c r="S79" s="16">
        <f>(($F$35*$E$35)+($F$36*$E$36))*Q73</f>
        <v>63.7</v>
      </c>
      <c r="T79" s="7">
        <f t="shared" si="21"/>
        <v>1347.0333333333333</v>
      </c>
      <c r="U79" s="38"/>
      <c r="V79" s="858"/>
      <c r="W79" s="39" t="s">
        <v>61</v>
      </c>
      <c r="X79" s="9" t="s">
        <v>116</v>
      </c>
      <c r="Y79" s="9" t="s">
        <v>7</v>
      </c>
      <c r="Z79" s="45">
        <f>Z73</f>
        <v>0</v>
      </c>
      <c r="AA79" s="9">
        <f>AA73</f>
        <v>0</v>
      </c>
      <c r="AB79" s="79">
        <f>AB73</f>
        <v>0</v>
      </c>
      <c r="AC79" s="7">
        <f t="shared" si="23"/>
        <v>0</v>
      </c>
    </row>
    <row r="80" spans="2:29" x14ac:dyDescent="0.2">
      <c r="B80" s="758"/>
      <c r="D80" s="773"/>
      <c r="E80" s="27" t="s">
        <v>13</v>
      </c>
      <c r="F80" s="9" t="s">
        <v>75</v>
      </c>
      <c r="G80" s="11" t="s">
        <v>12</v>
      </c>
      <c r="H80" s="6" t="s">
        <v>9</v>
      </c>
      <c r="I80" s="9" t="s">
        <v>9</v>
      </c>
      <c r="J80" s="11" t="s">
        <v>9</v>
      </c>
      <c r="K80" s="7">
        <f>SUM(K73:K79)*$E$17</f>
        <v>1929.7266666666667</v>
      </c>
      <c r="L80" s="5"/>
      <c r="M80" s="858"/>
      <c r="N80" s="39" t="s">
        <v>13</v>
      </c>
      <c r="O80" s="9" t="s">
        <v>115</v>
      </c>
      <c r="P80" s="9" t="s">
        <v>12</v>
      </c>
      <c r="Q80" s="6" t="s">
        <v>9</v>
      </c>
      <c r="R80" s="9" t="s">
        <v>9</v>
      </c>
      <c r="S80" s="11" t="s">
        <v>9</v>
      </c>
      <c r="T80" s="7">
        <f>SUM(T73:T79)*$E$17</f>
        <v>2573.1006666666667</v>
      </c>
      <c r="U80" s="787"/>
      <c r="V80" s="858"/>
      <c r="W80" s="39" t="s">
        <v>13</v>
      </c>
      <c r="X80" s="9" t="s">
        <v>116</v>
      </c>
      <c r="Y80" s="9" t="s">
        <v>12</v>
      </c>
      <c r="Z80" s="6" t="s">
        <v>9</v>
      </c>
      <c r="AA80" s="9" t="s">
        <v>9</v>
      </c>
      <c r="AB80" s="11" t="s">
        <v>9</v>
      </c>
      <c r="AC80" s="55">
        <f>SUM(AC73:AC79)*$E$17</f>
        <v>2535.8129999999996</v>
      </c>
    </row>
    <row r="81" spans="2:29" ht="16" thickBot="1" x14ac:dyDescent="0.25">
      <c r="B81" s="758"/>
      <c r="D81" s="776"/>
      <c r="E81" s="57"/>
      <c r="F81" s="42"/>
      <c r="G81" s="42"/>
      <c r="H81" s="29"/>
      <c r="I81" s="29"/>
      <c r="J81" s="43" t="s">
        <v>71</v>
      </c>
      <c r="K81" s="37">
        <f>SUM(K72:K80)</f>
        <v>21226.993333333332</v>
      </c>
      <c r="M81" s="859"/>
      <c r="N81" s="42"/>
      <c r="O81" s="42"/>
      <c r="P81" s="42"/>
      <c r="Q81" s="29"/>
      <c r="R81" s="29"/>
      <c r="S81" s="43" t="s">
        <v>71</v>
      </c>
      <c r="T81" s="37">
        <f>SUM(T72:T80)</f>
        <v>28304.10733333333</v>
      </c>
      <c r="U81" s="787"/>
      <c r="V81" s="859"/>
      <c r="W81" s="42"/>
      <c r="X81" s="42"/>
      <c r="Y81" s="42"/>
      <c r="Z81" s="29"/>
      <c r="AA81" s="29"/>
      <c r="AB81" s="43" t="s">
        <v>71</v>
      </c>
      <c r="AC81" s="37">
        <f>SUM(AC72:AC80)</f>
        <v>27893.942999999992</v>
      </c>
    </row>
    <row r="82" spans="2:29" ht="16" thickBot="1" x14ac:dyDescent="0.25">
      <c r="B82" s="758"/>
      <c r="U82" s="787"/>
    </row>
    <row r="83" spans="2:29" ht="15" customHeight="1" x14ac:dyDescent="0.2">
      <c r="B83" s="758"/>
      <c r="D83" s="860" t="s">
        <v>184</v>
      </c>
      <c r="E83" s="72" t="s">
        <v>4</v>
      </c>
      <c r="F83" s="72" t="s">
        <v>35</v>
      </c>
      <c r="G83" s="77" t="s">
        <v>5</v>
      </c>
      <c r="H83" s="72" t="s">
        <v>77</v>
      </c>
      <c r="I83" s="72" t="s">
        <v>31</v>
      </c>
      <c r="J83" s="72" t="s">
        <v>29</v>
      </c>
      <c r="K83" s="76" t="s">
        <v>32</v>
      </c>
      <c r="M83" s="860" t="s">
        <v>184</v>
      </c>
      <c r="N83" s="78" t="s">
        <v>4</v>
      </c>
      <c r="O83" s="72" t="s">
        <v>35</v>
      </c>
      <c r="P83" s="75" t="s">
        <v>5</v>
      </c>
      <c r="Q83" s="72" t="s">
        <v>77</v>
      </c>
      <c r="R83" s="72" t="s">
        <v>31</v>
      </c>
      <c r="S83" s="75" t="s">
        <v>29</v>
      </c>
      <c r="T83" s="76" t="s">
        <v>32</v>
      </c>
      <c r="U83" s="787"/>
      <c r="V83" s="860" t="s">
        <v>184</v>
      </c>
      <c r="W83" s="78" t="s">
        <v>4</v>
      </c>
      <c r="X83" s="72" t="s">
        <v>35</v>
      </c>
      <c r="Y83" s="75" t="s">
        <v>5</v>
      </c>
      <c r="Z83" s="72" t="s">
        <v>77</v>
      </c>
      <c r="AA83" s="72" t="s">
        <v>31</v>
      </c>
      <c r="AB83" s="75" t="s">
        <v>29</v>
      </c>
      <c r="AC83" s="76" t="s">
        <v>32</v>
      </c>
    </row>
    <row r="84" spans="2:29" ht="16" x14ac:dyDescent="0.2">
      <c r="B84" s="758"/>
      <c r="D84" s="861"/>
      <c r="E84" s="39" t="s">
        <v>43</v>
      </c>
      <c r="F84" s="9" t="s">
        <v>75</v>
      </c>
      <c r="G84" s="9" t="s">
        <v>46</v>
      </c>
      <c r="H84" s="3">
        <f>E9/J5</f>
        <v>0.77777777777777779</v>
      </c>
      <c r="I84" s="31">
        <f>($J$6+$J$8)*H84</f>
        <v>1283.3333333333333</v>
      </c>
      <c r="J84" s="16">
        <f>($F$35+$F$36)*H84</f>
        <v>63.7</v>
      </c>
      <c r="K84" s="7">
        <f>I84+J84</f>
        <v>1347.0333333333333</v>
      </c>
      <c r="L84" s="4"/>
      <c r="M84" s="861"/>
      <c r="N84" s="39" t="s">
        <v>54</v>
      </c>
      <c r="O84" s="9" t="s">
        <v>115</v>
      </c>
      <c r="P84" s="9" t="s">
        <v>46</v>
      </c>
      <c r="Q84" s="3">
        <f>F9/K5</f>
        <v>0.77777777777777779</v>
      </c>
      <c r="R84" s="31">
        <f>($K$6+$K$8)*Q84</f>
        <v>1283.3333333333333</v>
      </c>
      <c r="S84" s="16">
        <f>(($F$35*$E$35)+($F$36*$E$36))*Q84</f>
        <v>63.7</v>
      </c>
      <c r="T84" s="7">
        <f>R84+S84</f>
        <v>1347.0333333333333</v>
      </c>
      <c r="U84" s="787"/>
      <c r="V84" s="861"/>
      <c r="W84" s="39" t="s">
        <v>60</v>
      </c>
      <c r="X84" s="9" t="s">
        <v>116</v>
      </c>
      <c r="Y84" s="27" t="s">
        <v>46</v>
      </c>
      <c r="Z84" s="3">
        <f>G9/L5</f>
        <v>0</v>
      </c>
      <c r="AA84" s="31">
        <f>($L$6+$L$8)*Z84</f>
        <v>0</v>
      </c>
      <c r="AB84" s="16">
        <f>($F$39+$F$40)*Z84</f>
        <v>0</v>
      </c>
      <c r="AC84" s="7">
        <f>AA84+AB84</f>
        <v>0</v>
      </c>
    </row>
    <row r="85" spans="2:29" ht="16" x14ac:dyDescent="0.2">
      <c r="B85" s="758"/>
      <c r="D85" s="861"/>
      <c r="E85" s="39" t="s">
        <v>42</v>
      </c>
      <c r="F85" s="9" t="s">
        <v>75</v>
      </c>
      <c r="G85" s="11" t="s">
        <v>8</v>
      </c>
      <c r="H85" s="45">
        <f>E13/J5</f>
        <v>0.94444444444444442</v>
      </c>
      <c r="I85" s="31">
        <f>($J$6+$J$8)*H85</f>
        <v>1558.3333333333333</v>
      </c>
      <c r="J85" s="16">
        <f>(($F$33*$E$33)+($F$34*$E$34)+($F$35*$E$35)+($F$36*$E$36))*H85</f>
        <v>205.75666666666666</v>
      </c>
      <c r="K85" s="7">
        <f t="shared" ref="K85:K88" si="24">I85+J85</f>
        <v>1764.09</v>
      </c>
      <c r="L85" s="4"/>
      <c r="M85" s="861"/>
      <c r="N85" s="39" t="s">
        <v>55</v>
      </c>
      <c r="O85" s="9" t="s">
        <v>115</v>
      </c>
      <c r="P85" s="11" t="s">
        <v>8</v>
      </c>
      <c r="Q85" s="45">
        <f>F13/K5</f>
        <v>2.6666666666666665</v>
      </c>
      <c r="R85" s="31">
        <f>($K$6+$K$8)*Q85</f>
        <v>4400</v>
      </c>
      <c r="S85" s="16">
        <f>(($F$33*$E$33)+($F$34*$E$34)+($F$35*$E$35)+($F$36*$E$36))*Q85</f>
        <v>580.96</v>
      </c>
      <c r="T85" s="7">
        <f t="shared" ref="T85:T88" si="25">R85+S85</f>
        <v>4980.96</v>
      </c>
      <c r="U85" s="787"/>
      <c r="V85" s="861"/>
      <c r="W85" s="39" t="s">
        <v>58</v>
      </c>
      <c r="X85" s="9" t="s">
        <v>116</v>
      </c>
      <c r="Y85" s="28" t="s">
        <v>8</v>
      </c>
      <c r="Z85" s="45">
        <f>G13/L5</f>
        <v>4.5999999999999996</v>
      </c>
      <c r="AA85" s="31">
        <f t="shared" ref="AA85:AA87" si="26">($L$6+$L$8)*Z85</f>
        <v>6200.4166666666652</v>
      </c>
      <c r="AB85" s="16">
        <f>(($F$37*$E$37)+($F$38*$E$38)+($F$39*$E$39)+($F$40*$E$40))*Z85</f>
        <v>1000.04</v>
      </c>
      <c r="AC85" s="7">
        <f t="shared" ref="AC85:AC88" si="27">AA85+AB85</f>
        <v>7200.4566666666651</v>
      </c>
    </row>
    <row r="86" spans="2:29" ht="16" customHeight="1" x14ac:dyDescent="0.2">
      <c r="B86" s="758"/>
      <c r="D86" s="861"/>
      <c r="E86" s="39" t="s">
        <v>104</v>
      </c>
      <c r="F86" s="9" t="s">
        <v>75</v>
      </c>
      <c r="G86" s="11" t="s">
        <v>10</v>
      </c>
      <c r="H86" s="45">
        <f>E29</f>
        <v>0</v>
      </c>
      <c r="I86" s="31">
        <f t="shared" ref="I86:I88" si="28">($J$6+$J$8)*H86</f>
        <v>0</v>
      </c>
      <c r="J86" s="16">
        <f>(($F$33*$E$33)+($F$34*$E$34)+($F$35*$E$35)+($F$36*$E$36))*H86</f>
        <v>0</v>
      </c>
      <c r="K86" s="7">
        <f>I86+J86</f>
        <v>0</v>
      </c>
      <c r="L86" s="4"/>
      <c r="M86" s="861"/>
      <c r="N86" s="39" t="s">
        <v>104</v>
      </c>
      <c r="O86" s="9" t="s">
        <v>115</v>
      </c>
      <c r="P86" s="11" t="s">
        <v>10</v>
      </c>
      <c r="Q86" s="45">
        <f>E29</f>
        <v>0</v>
      </c>
      <c r="R86" s="31">
        <f t="shared" ref="R86:R88" si="29">($K$6+$K$8)*Q86</f>
        <v>0</v>
      </c>
      <c r="S86" s="16">
        <f>(($F$33*$E$33)+($F$34*$E$34)+($F$35*$E$35)+($F$36*$E$36))*Q86</f>
        <v>0</v>
      </c>
      <c r="T86" s="7">
        <f t="shared" si="25"/>
        <v>0</v>
      </c>
      <c r="U86" s="787"/>
      <c r="V86" s="861"/>
      <c r="W86" s="39" t="s">
        <v>104</v>
      </c>
      <c r="X86" s="9" t="s">
        <v>116</v>
      </c>
      <c r="Y86" s="28" t="s">
        <v>10</v>
      </c>
      <c r="Z86" s="45">
        <f>E29</f>
        <v>0</v>
      </c>
      <c r="AA86" s="31">
        <f>($L$6+$L$8)*Z86</f>
        <v>0</v>
      </c>
      <c r="AB86" s="16">
        <f>(($F$37*$E$37)+($F$38*$E$38)+($F$39*$E$39)+($F$40*$E$40))*Z86</f>
        <v>0</v>
      </c>
      <c r="AC86" s="7">
        <f t="shared" si="27"/>
        <v>0</v>
      </c>
    </row>
    <row r="87" spans="2:29" ht="16" x14ac:dyDescent="0.2">
      <c r="B87" s="758"/>
      <c r="D87" s="861"/>
      <c r="E87" s="39" t="s">
        <v>45</v>
      </c>
      <c r="F87" s="9" t="s">
        <v>75</v>
      </c>
      <c r="G87" s="11" t="s">
        <v>8</v>
      </c>
      <c r="H87" s="45">
        <f>H85</f>
        <v>0.94444444444444442</v>
      </c>
      <c r="I87" s="31">
        <f t="shared" si="28"/>
        <v>1558.3333333333333</v>
      </c>
      <c r="J87" s="16">
        <f>(($F$33*$E$33)+($F$34*$E$34)+($F$35*$E$35)+($F$36*$E$36))*H87</f>
        <v>205.75666666666666</v>
      </c>
      <c r="K87" s="7">
        <f t="shared" si="24"/>
        <v>1764.09</v>
      </c>
      <c r="L87" s="4"/>
      <c r="M87" s="861"/>
      <c r="N87" s="39" t="s">
        <v>56</v>
      </c>
      <c r="O87" s="9" t="s">
        <v>115</v>
      </c>
      <c r="P87" s="11" t="s">
        <v>8</v>
      </c>
      <c r="Q87" s="45">
        <f>Q85</f>
        <v>2.6666666666666665</v>
      </c>
      <c r="R87" s="31">
        <f t="shared" si="29"/>
        <v>4400</v>
      </c>
      <c r="S87" s="16">
        <f>(($F$33*$E$33)+($F$34*$E$34)+($F$35*$E$35)+($F$36*$E$36))*Q87</f>
        <v>580.96</v>
      </c>
      <c r="T87" s="7">
        <f t="shared" si="25"/>
        <v>4980.96</v>
      </c>
      <c r="U87" s="787"/>
      <c r="V87" s="861"/>
      <c r="W87" s="39" t="s">
        <v>59</v>
      </c>
      <c r="X87" s="9" t="s">
        <v>116</v>
      </c>
      <c r="Y87" s="28" t="s">
        <v>8</v>
      </c>
      <c r="Z87" s="45">
        <f>Z85</f>
        <v>4.5999999999999996</v>
      </c>
      <c r="AA87" s="31">
        <f t="shared" si="26"/>
        <v>6200.4166666666652</v>
      </c>
      <c r="AB87" s="16">
        <f>(($F$37*$E$37)+($F$38*$E$38)+($F$39*$E$39)+($F$40*$E$40))*Z87</f>
        <v>1000.04</v>
      </c>
      <c r="AC87" s="7">
        <f t="shared" si="27"/>
        <v>7200.4566666666651</v>
      </c>
    </row>
    <row r="88" spans="2:29" ht="16" x14ac:dyDescent="0.2">
      <c r="B88" s="758"/>
      <c r="D88" s="861"/>
      <c r="E88" s="39" t="s">
        <v>44</v>
      </c>
      <c r="F88" s="9" t="s">
        <v>75</v>
      </c>
      <c r="G88" s="11" t="s">
        <v>46</v>
      </c>
      <c r="H88" s="45">
        <f>H84</f>
        <v>0.77777777777777779</v>
      </c>
      <c r="I88" s="31">
        <f t="shared" si="28"/>
        <v>1283.3333333333333</v>
      </c>
      <c r="J88" s="16">
        <f>($F$35+$F$36)*H88</f>
        <v>63.7</v>
      </c>
      <c r="K88" s="7">
        <f t="shared" si="24"/>
        <v>1347.0333333333333</v>
      </c>
      <c r="L88" s="4"/>
      <c r="M88" s="861"/>
      <c r="N88" s="39" t="s">
        <v>57</v>
      </c>
      <c r="O88" s="9" t="s">
        <v>115</v>
      </c>
      <c r="P88" s="11" t="s">
        <v>46</v>
      </c>
      <c r="Q88" s="45">
        <f>Q84</f>
        <v>0.77777777777777779</v>
      </c>
      <c r="R88" s="31">
        <f t="shared" si="29"/>
        <v>1283.3333333333333</v>
      </c>
      <c r="S88" s="16">
        <f>(($F$35*$E$35)+($F$36*$E$36))*Q88</f>
        <v>63.7</v>
      </c>
      <c r="T88" s="7">
        <f t="shared" si="25"/>
        <v>1347.0333333333333</v>
      </c>
      <c r="U88" s="787"/>
      <c r="V88" s="861"/>
      <c r="W88" s="39" t="s">
        <v>61</v>
      </c>
      <c r="X88" s="9" t="s">
        <v>116</v>
      </c>
      <c r="Y88" s="28" t="s">
        <v>46</v>
      </c>
      <c r="Z88" s="45">
        <f>Z84</f>
        <v>0</v>
      </c>
      <c r="AA88" s="31">
        <f>AA84</f>
        <v>0</v>
      </c>
      <c r="AB88" s="16">
        <f>AB84</f>
        <v>0</v>
      </c>
      <c r="AC88" s="7">
        <f t="shared" si="27"/>
        <v>0</v>
      </c>
    </row>
    <row r="89" spans="2:29" x14ac:dyDescent="0.2">
      <c r="B89" s="758"/>
      <c r="D89" s="861"/>
      <c r="E89" s="39" t="s">
        <v>13</v>
      </c>
      <c r="F89" s="9" t="s">
        <v>75</v>
      </c>
      <c r="G89" s="9" t="s">
        <v>12</v>
      </c>
      <c r="H89" s="11" t="s">
        <v>9</v>
      </c>
      <c r="I89" s="9" t="s">
        <v>9</v>
      </c>
      <c r="J89" s="16" t="s">
        <v>9</v>
      </c>
      <c r="K89" s="7">
        <f>SUM(K84:K88)*$E$17</f>
        <v>622.22466666666662</v>
      </c>
      <c r="L89" s="13"/>
      <c r="M89" s="861"/>
      <c r="N89" s="39" t="s">
        <v>13</v>
      </c>
      <c r="O89" s="9" t="s">
        <v>115</v>
      </c>
      <c r="P89" s="9" t="s">
        <v>12</v>
      </c>
      <c r="Q89" s="11" t="s">
        <v>9</v>
      </c>
      <c r="R89" s="9" t="s">
        <v>9</v>
      </c>
      <c r="S89" s="16" t="s">
        <v>9</v>
      </c>
      <c r="T89" s="7">
        <f>SUM(T84:T88)*$E$17</f>
        <v>1265.5986666666668</v>
      </c>
      <c r="U89" s="787"/>
      <c r="V89" s="861"/>
      <c r="W89" s="39" t="s">
        <v>13</v>
      </c>
      <c r="X89" s="9" t="s">
        <v>116</v>
      </c>
      <c r="Y89" s="27" t="s">
        <v>12</v>
      </c>
      <c r="Z89" s="11" t="s">
        <v>9</v>
      </c>
      <c r="AA89" s="9" t="s">
        <v>9</v>
      </c>
      <c r="AB89" s="16" t="s">
        <v>9</v>
      </c>
      <c r="AC89" s="55">
        <f>SUM(AC84:AC88)*$E$17</f>
        <v>1440.0913333333331</v>
      </c>
    </row>
    <row r="90" spans="2:29" ht="16" thickBot="1" x14ac:dyDescent="0.25">
      <c r="B90" s="758"/>
      <c r="D90" s="862"/>
      <c r="E90" s="42"/>
      <c r="F90" s="42"/>
      <c r="G90" s="42"/>
      <c r="H90" s="29"/>
      <c r="I90" s="29"/>
      <c r="J90" s="43" t="s">
        <v>543</v>
      </c>
      <c r="K90" s="37">
        <v>0</v>
      </c>
      <c r="L90" s="5"/>
      <c r="M90" s="862"/>
      <c r="N90" s="42"/>
      <c r="O90" s="42"/>
      <c r="P90" s="42"/>
      <c r="Q90" s="29"/>
      <c r="R90" s="29"/>
      <c r="S90" s="43" t="s">
        <v>543</v>
      </c>
      <c r="T90" s="37">
        <v>0</v>
      </c>
      <c r="U90" s="38"/>
      <c r="V90" s="862"/>
      <c r="W90" s="42"/>
      <c r="X90" s="42"/>
      <c r="Y90" s="42"/>
      <c r="Z90" s="29"/>
      <c r="AA90" s="29"/>
      <c r="AB90" s="43" t="s">
        <v>543</v>
      </c>
      <c r="AC90" s="37">
        <v>0</v>
      </c>
    </row>
    <row r="91" spans="2:29" ht="16" thickBot="1" x14ac:dyDescent="0.25">
      <c r="B91" s="758"/>
      <c r="D91" s="68"/>
      <c r="E91" s="69"/>
      <c r="F91" s="69"/>
      <c r="G91" s="69"/>
      <c r="H91" s="21"/>
      <c r="I91" s="21"/>
      <c r="J91" s="70"/>
      <c r="K91" s="13"/>
      <c r="L91" s="5"/>
      <c r="M91" s="68"/>
      <c r="N91" s="69"/>
      <c r="O91" s="69"/>
      <c r="P91" s="69"/>
      <c r="Q91" s="21"/>
      <c r="R91" s="21"/>
      <c r="S91" s="70"/>
      <c r="T91" s="13"/>
      <c r="U91" s="38"/>
      <c r="V91" s="68"/>
      <c r="W91" s="69"/>
      <c r="X91" s="69"/>
      <c r="Y91" s="69"/>
      <c r="Z91" s="21"/>
      <c r="AA91" s="21"/>
      <c r="AB91" s="70"/>
      <c r="AC91" s="13"/>
    </row>
    <row r="92" spans="2:29" x14ac:dyDescent="0.2">
      <c r="B92" s="758"/>
      <c r="D92" s="860" t="s">
        <v>117</v>
      </c>
      <c r="E92" s="75" t="s">
        <v>213</v>
      </c>
      <c r="F92" s="73" t="s">
        <v>142</v>
      </c>
      <c r="G92" s="69"/>
      <c r="H92" s="21"/>
      <c r="I92" s="21"/>
      <c r="J92" s="70"/>
      <c r="K92" s="13"/>
      <c r="L92" s="5"/>
      <c r="M92" s="860" t="s">
        <v>117</v>
      </c>
      <c r="N92" s="75" t="s">
        <v>213</v>
      </c>
      <c r="O92" s="73" t="s">
        <v>142</v>
      </c>
      <c r="P92" s="69"/>
      <c r="Q92" s="21"/>
      <c r="R92" s="21"/>
      <c r="S92" s="70"/>
      <c r="T92" s="13"/>
      <c r="U92" s="38"/>
      <c r="V92" s="860" t="s">
        <v>117</v>
      </c>
      <c r="W92" s="75" t="s">
        <v>213</v>
      </c>
      <c r="X92" s="73" t="s">
        <v>142</v>
      </c>
      <c r="Y92" s="69"/>
      <c r="Z92" s="21"/>
      <c r="AA92" s="21"/>
      <c r="AB92" s="70"/>
      <c r="AC92" s="13"/>
    </row>
    <row r="93" spans="2:29" x14ac:dyDescent="0.2">
      <c r="B93" s="758"/>
      <c r="D93" s="861"/>
      <c r="E93" s="27" t="s">
        <v>673</v>
      </c>
      <c r="F93" s="194">
        <f>J20</f>
        <v>258</v>
      </c>
      <c r="G93" s="69"/>
      <c r="H93" s="21"/>
      <c r="I93" s="21"/>
      <c r="J93" s="70"/>
      <c r="K93" s="13"/>
      <c r="L93" s="5"/>
      <c r="M93" s="861"/>
      <c r="N93" s="27" t="s">
        <v>673</v>
      </c>
      <c r="O93" s="194">
        <f>J20</f>
        <v>258</v>
      </c>
      <c r="P93" s="69"/>
      <c r="Q93" s="21"/>
      <c r="R93" s="21"/>
      <c r="S93" s="70"/>
      <c r="T93" s="13"/>
      <c r="U93" s="38"/>
      <c r="V93" s="861"/>
      <c r="W93" s="27" t="s">
        <v>679</v>
      </c>
      <c r="X93" s="194">
        <f>J19</f>
        <v>258</v>
      </c>
      <c r="Y93" s="69"/>
      <c r="Z93" s="21"/>
      <c r="AA93" s="21"/>
      <c r="AB93" s="70"/>
      <c r="AC93" s="13"/>
    </row>
    <row r="94" spans="2:29" x14ac:dyDescent="0.2">
      <c r="B94" s="758"/>
      <c r="D94" s="861"/>
      <c r="E94" s="27" t="s">
        <v>517</v>
      </c>
      <c r="F94" s="194">
        <f>J21</f>
        <v>2267.25</v>
      </c>
      <c r="G94" s="69"/>
      <c r="H94" s="21"/>
      <c r="I94" s="21"/>
      <c r="J94" s="70"/>
      <c r="K94" s="13"/>
      <c r="L94" s="5"/>
      <c r="M94" s="861"/>
      <c r="N94" s="27" t="s">
        <v>518</v>
      </c>
      <c r="O94" s="194">
        <f>J22</f>
        <v>1267.25</v>
      </c>
      <c r="P94" s="69"/>
      <c r="Q94" s="21"/>
      <c r="R94" s="21"/>
      <c r="S94" s="70"/>
      <c r="T94" s="13"/>
      <c r="U94" s="38"/>
      <c r="V94" s="861"/>
      <c r="W94" s="27" t="s">
        <v>680</v>
      </c>
      <c r="X94" s="194">
        <f>J23</f>
        <v>1650</v>
      </c>
      <c r="Y94" s="69"/>
      <c r="Z94" s="21"/>
      <c r="AA94" s="21"/>
      <c r="AB94" s="70"/>
      <c r="AC94" s="13"/>
    </row>
    <row r="95" spans="2:29" x14ac:dyDescent="0.2">
      <c r="B95" s="758"/>
      <c r="D95" s="861"/>
      <c r="E95" s="27" t="s">
        <v>674</v>
      </c>
      <c r="F95" s="194">
        <v>0</v>
      </c>
      <c r="G95" s="69"/>
      <c r="H95" s="21"/>
      <c r="I95" s="21"/>
      <c r="J95" s="70"/>
      <c r="K95" s="13"/>
      <c r="L95" s="5"/>
      <c r="M95" s="861"/>
      <c r="N95" s="27" t="s">
        <v>674</v>
      </c>
      <c r="O95" s="194">
        <v>0</v>
      </c>
      <c r="P95" s="69"/>
      <c r="Q95" s="21"/>
      <c r="R95" s="21"/>
      <c r="S95" s="70"/>
      <c r="T95" s="13"/>
      <c r="U95" s="38"/>
      <c r="V95" s="861"/>
      <c r="W95" s="27" t="s">
        <v>674</v>
      </c>
      <c r="X95" s="194">
        <f>J27+J28</f>
        <v>6854</v>
      </c>
      <c r="Y95" s="69"/>
      <c r="Z95" s="21"/>
      <c r="AA95" s="21"/>
      <c r="AB95" s="70"/>
      <c r="AC95" s="13"/>
    </row>
    <row r="96" spans="2:29" x14ac:dyDescent="0.2">
      <c r="B96" s="758"/>
      <c r="D96" s="861"/>
      <c r="E96" s="27" t="s">
        <v>675</v>
      </c>
      <c r="F96" s="194">
        <v>0</v>
      </c>
      <c r="G96" s="69"/>
      <c r="H96" s="21"/>
      <c r="I96" s="21"/>
      <c r="J96" s="70"/>
      <c r="K96" s="13"/>
      <c r="L96" s="5"/>
      <c r="M96" s="861"/>
      <c r="N96" s="27" t="s">
        <v>675</v>
      </c>
      <c r="O96" s="194">
        <v>0</v>
      </c>
      <c r="P96" s="69"/>
      <c r="Q96" s="21"/>
      <c r="R96" s="21"/>
      <c r="S96" s="70"/>
      <c r="T96" s="13"/>
      <c r="U96" s="38"/>
      <c r="V96" s="861"/>
      <c r="W96" s="27" t="s">
        <v>675</v>
      </c>
      <c r="X96" s="194">
        <f>J29+J30</f>
        <v>6794</v>
      </c>
      <c r="Y96" s="69"/>
      <c r="Z96" s="21"/>
      <c r="AA96" s="21"/>
      <c r="AB96" s="70"/>
      <c r="AC96" s="13"/>
    </row>
    <row r="97" spans="2:29" x14ac:dyDescent="0.2">
      <c r="B97" s="758"/>
      <c r="D97" s="861"/>
      <c r="E97" s="27" t="s">
        <v>676</v>
      </c>
      <c r="F97" s="194">
        <v>0</v>
      </c>
      <c r="G97" s="69"/>
      <c r="H97" s="21"/>
      <c r="I97" s="21"/>
      <c r="J97" s="70"/>
      <c r="K97" s="13"/>
      <c r="L97" s="5"/>
      <c r="M97" s="861"/>
      <c r="N97" s="27" t="s">
        <v>676</v>
      </c>
      <c r="O97" s="194">
        <v>0</v>
      </c>
      <c r="P97" s="69"/>
      <c r="Q97" s="21"/>
      <c r="R97" s="21"/>
      <c r="S97" s="70"/>
      <c r="T97" s="13"/>
      <c r="U97" s="38"/>
      <c r="V97" s="861"/>
      <c r="W97" s="27" t="s">
        <v>676</v>
      </c>
      <c r="X97" s="194">
        <f>J31+J32</f>
        <v>724.02</v>
      </c>
      <c r="Y97" s="69"/>
      <c r="Z97" s="21"/>
      <c r="AA97" s="21"/>
      <c r="AB97" s="70"/>
      <c r="AC97" s="13"/>
    </row>
    <row r="98" spans="2:29" ht="16" thickBot="1" x14ac:dyDescent="0.25">
      <c r="B98" s="759"/>
      <c r="D98" s="862"/>
      <c r="E98" s="43" t="s">
        <v>677</v>
      </c>
      <c r="F98" s="37">
        <f>SUM(F93:F97)</f>
        <v>2525.25</v>
      </c>
      <c r="G98" s="69"/>
      <c r="H98" s="21"/>
      <c r="I98" s="21"/>
      <c r="L98" s="5"/>
      <c r="M98" s="862"/>
      <c r="N98" s="43" t="s">
        <v>677</v>
      </c>
      <c r="O98" s="37">
        <f>SUM(O93:O97)</f>
        <v>1525.25</v>
      </c>
      <c r="P98" s="69"/>
      <c r="Q98" s="21"/>
      <c r="R98" s="21"/>
      <c r="S98" s="70"/>
      <c r="T98" s="13"/>
      <c r="U98" s="38"/>
      <c r="V98" s="862"/>
      <c r="W98" s="43" t="s">
        <v>677</v>
      </c>
      <c r="X98" s="37">
        <f>SUM(X93:X97)</f>
        <v>16280.02</v>
      </c>
      <c r="Y98" s="69"/>
      <c r="Z98" s="21"/>
      <c r="AA98" s="21"/>
      <c r="AB98" s="70"/>
      <c r="AC98" s="13"/>
    </row>
    <row r="99" spans="2:29" x14ac:dyDescent="0.2">
      <c r="B99" s="12"/>
      <c r="L99" s="20"/>
      <c r="U99" s="38"/>
    </row>
    <row r="100" spans="2:29" x14ac:dyDescent="0.2">
      <c r="B100" s="12"/>
      <c r="L100" s="20"/>
      <c r="U100" s="38"/>
    </row>
    <row r="101" spans="2:29" ht="20" thickBot="1" x14ac:dyDescent="0.25">
      <c r="B101" s="12"/>
      <c r="D101" s="169"/>
      <c r="L101" s="20"/>
      <c r="U101" s="38"/>
    </row>
    <row r="102" spans="2:29" ht="19" customHeight="1" x14ac:dyDescent="0.2">
      <c r="B102" s="757" t="s">
        <v>26</v>
      </c>
      <c r="D102" s="852" t="s">
        <v>941</v>
      </c>
      <c r="E102" s="854"/>
      <c r="F102" s="493"/>
      <c r="G102" s="852" t="s">
        <v>942</v>
      </c>
      <c r="H102" s="854"/>
      <c r="J102" s="852" t="s">
        <v>941</v>
      </c>
      <c r="K102" s="854"/>
      <c r="L102" s="20"/>
      <c r="U102" s="38"/>
    </row>
    <row r="103" spans="2:29" ht="18" customHeight="1" thickBot="1" x14ac:dyDescent="0.25">
      <c r="B103" s="758"/>
      <c r="D103" s="834" t="s">
        <v>1012</v>
      </c>
      <c r="E103" s="836"/>
      <c r="F103" s="169"/>
      <c r="G103" s="834" t="s">
        <v>1013</v>
      </c>
      <c r="H103" s="836"/>
      <c r="J103" s="834" t="s">
        <v>1019</v>
      </c>
      <c r="K103" s="836"/>
      <c r="U103" s="38"/>
    </row>
    <row r="104" spans="2:29" ht="30" customHeight="1" x14ac:dyDescent="0.2">
      <c r="B104" s="758"/>
      <c r="D104" s="491" t="s">
        <v>62</v>
      </c>
      <c r="E104" s="492" t="s">
        <v>212</v>
      </c>
      <c r="G104" s="491" t="s">
        <v>62</v>
      </c>
      <c r="H104" s="492" t="s">
        <v>212</v>
      </c>
      <c r="J104" s="491" t="s">
        <v>62</v>
      </c>
      <c r="K104" s="492" t="s">
        <v>212</v>
      </c>
      <c r="U104" s="38"/>
    </row>
    <row r="105" spans="2:29" ht="41" thickBot="1" x14ac:dyDescent="0.25">
      <c r="B105" s="759"/>
      <c r="D105" s="509" t="s">
        <v>927</v>
      </c>
      <c r="E105" s="196">
        <f>K90+K59+F93+F94+F95</f>
        <v>20670.274333333335</v>
      </c>
      <c r="G105" s="509" t="s">
        <v>927</v>
      </c>
      <c r="H105" s="196">
        <f t="shared" ref="H105:H110" si="30">E105*J36^-(-LOG(1-$E$18)/LOG(2))*J36</f>
        <v>2822032.0374615374</v>
      </c>
      <c r="J105" s="509" t="s">
        <v>927</v>
      </c>
      <c r="K105" s="196">
        <f>K90+K59+F93+F94+F95+K81+F96</f>
        <v>41897.267666666667</v>
      </c>
      <c r="U105" s="38"/>
    </row>
    <row r="106" spans="2:29" ht="19" x14ac:dyDescent="0.2">
      <c r="B106" s="12"/>
      <c r="D106" s="489" t="s">
        <v>929</v>
      </c>
      <c r="E106" s="196">
        <f>T90+T59+O93+O94+O95</f>
        <v>26747.388333333332</v>
      </c>
      <c r="G106" s="489" t="s">
        <v>929</v>
      </c>
      <c r="H106" s="196">
        <f t="shared" si="30"/>
        <v>1814121.3736887337</v>
      </c>
      <c r="J106" s="489" t="s">
        <v>929</v>
      </c>
      <c r="K106" s="196">
        <f>T90+T59+O93+O94+O95+O96</f>
        <v>26747.388333333332</v>
      </c>
      <c r="U106" s="38"/>
    </row>
    <row r="107" spans="2:29" ht="19" customHeight="1" x14ac:dyDescent="0.2">
      <c r="D107" s="509" t="s">
        <v>930</v>
      </c>
      <c r="E107" s="196">
        <f>AC90+AC59+X93+X94+X95</f>
        <v>34073.170499999993</v>
      </c>
      <c r="G107" s="509" t="s">
        <v>930</v>
      </c>
      <c r="H107" s="196">
        <f t="shared" si="30"/>
        <v>3423920.6867984487</v>
      </c>
      <c r="J107" s="509" t="s">
        <v>930</v>
      </c>
      <c r="K107" s="196">
        <f>AC90+AC59+X93+X94+X95+AC81+X96</f>
        <v>68761.113499999978</v>
      </c>
      <c r="U107" s="38"/>
    </row>
    <row r="108" spans="2:29" ht="19" customHeight="1" x14ac:dyDescent="0.2">
      <c r="D108" s="509" t="s">
        <v>923</v>
      </c>
      <c r="E108" s="196">
        <f>K90+K59+F93+F94+F95+F97</f>
        <v>20670.274333333335</v>
      </c>
      <c r="G108" s="509" t="s">
        <v>923</v>
      </c>
      <c r="H108" s="196">
        <f t="shared" si="30"/>
        <v>4706549.1958500734</v>
      </c>
      <c r="J108" s="509" t="s">
        <v>923</v>
      </c>
      <c r="K108" s="196">
        <f>K90+K59+F93+F94+F95+F97+K70</f>
        <v>43951.913666666667</v>
      </c>
      <c r="U108" s="38"/>
    </row>
    <row r="109" spans="2:29" ht="19" x14ac:dyDescent="0.2">
      <c r="D109" s="489" t="s">
        <v>924</v>
      </c>
      <c r="E109" s="196">
        <f>T90+T59+O93+O94+O95</f>
        <v>26747.388333333332</v>
      </c>
      <c r="G109" s="489" t="s">
        <v>924</v>
      </c>
      <c r="H109" s="196">
        <f t="shared" si="30"/>
        <v>3021652.4269412612</v>
      </c>
      <c r="J109" s="489" t="s">
        <v>924</v>
      </c>
      <c r="K109" s="196">
        <f>T90+T59+O93+O94+O95+O97+T70</f>
        <v>57106.141666666663</v>
      </c>
      <c r="U109" s="38"/>
    </row>
    <row r="110" spans="2:29" ht="20" customHeight="1" thickBot="1" x14ac:dyDescent="0.25">
      <c r="D110" s="490" t="s">
        <v>926</v>
      </c>
      <c r="E110" s="197">
        <f>AC90+AC59+X93+X94+X95</f>
        <v>34073.170499999993</v>
      </c>
      <c r="G110" s="490" t="s">
        <v>926</v>
      </c>
      <c r="H110" s="197">
        <f t="shared" si="30"/>
        <v>5713841.3401267203</v>
      </c>
      <c r="J110" s="490" t="s">
        <v>926</v>
      </c>
      <c r="K110" s="197">
        <f>AC90+AC59+X93+X94+X95+X97+AC70</f>
        <v>64412.981833333324</v>
      </c>
      <c r="U110" s="38"/>
    </row>
    <row r="111" spans="2:29" x14ac:dyDescent="0.2">
      <c r="B111" s="12"/>
      <c r="U111" s="38"/>
    </row>
    <row r="112" spans="2:29" x14ac:dyDescent="0.2">
      <c r="B112" s="12"/>
      <c r="U112" s="38"/>
    </row>
    <row r="113" spans="2:21" x14ac:dyDescent="0.2">
      <c r="B113" s="12"/>
      <c r="U113" s="38"/>
    </row>
    <row r="114" spans="2:21" x14ac:dyDescent="0.2">
      <c r="B114" s="12"/>
      <c r="U114" s="38"/>
    </row>
    <row r="115" spans="2:21" x14ac:dyDescent="0.2">
      <c r="B115" s="12"/>
      <c r="U115" s="38"/>
    </row>
    <row r="116" spans="2:21" x14ac:dyDescent="0.2">
      <c r="B116" s="12"/>
      <c r="U116" s="38"/>
    </row>
    <row r="117" spans="2:21" x14ac:dyDescent="0.2">
      <c r="B117" s="12"/>
      <c r="U117" s="38"/>
    </row>
    <row r="118" spans="2:21" x14ac:dyDescent="0.2">
      <c r="B118" s="12"/>
      <c r="U118" s="38"/>
    </row>
    <row r="119" spans="2:21" x14ac:dyDescent="0.2">
      <c r="B119" s="12"/>
      <c r="U119" s="38"/>
    </row>
    <row r="120" spans="2:21" x14ac:dyDescent="0.2">
      <c r="B120" s="12"/>
      <c r="U120" s="38"/>
    </row>
    <row r="121" spans="2:21" x14ac:dyDescent="0.2">
      <c r="B121" s="12"/>
      <c r="U121" s="38"/>
    </row>
    <row r="122" spans="2:21" x14ac:dyDescent="0.2">
      <c r="B122" s="12"/>
      <c r="U122" s="38"/>
    </row>
    <row r="123" spans="2:21" x14ac:dyDescent="0.2">
      <c r="B123" s="12"/>
      <c r="U123" s="38"/>
    </row>
    <row r="124" spans="2:21" x14ac:dyDescent="0.2">
      <c r="B124" s="12"/>
      <c r="U124" s="38"/>
    </row>
    <row r="125" spans="2:21" x14ac:dyDescent="0.2">
      <c r="B125" s="12"/>
      <c r="U125" s="38"/>
    </row>
    <row r="126" spans="2:21" x14ac:dyDescent="0.2">
      <c r="B126" s="12"/>
      <c r="U126" s="38"/>
    </row>
    <row r="127" spans="2:21" x14ac:dyDescent="0.2">
      <c r="B127" s="12"/>
      <c r="U127" s="38"/>
    </row>
    <row r="128" spans="2:21" x14ac:dyDescent="0.2">
      <c r="B128" s="12"/>
      <c r="U128" s="38"/>
    </row>
    <row r="129" spans="2:21" x14ac:dyDescent="0.2">
      <c r="B129" s="12"/>
      <c r="U129" s="38"/>
    </row>
    <row r="130" spans="2:21" x14ac:dyDescent="0.2">
      <c r="B130" s="12"/>
      <c r="U130" s="38"/>
    </row>
    <row r="131" spans="2:21" x14ac:dyDescent="0.2">
      <c r="B131" s="12"/>
      <c r="U131" s="38"/>
    </row>
    <row r="132" spans="2:21" x14ac:dyDescent="0.2">
      <c r="U132" s="38"/>
    </row>
    <row r="133" spans="2:21" x14ac:dyDescent="0.2">
      <c r="U133" s="38"/>
    </row>
    <row r="134" spans="2:21" x14ac:dyDescent="0.2">
      <c r="U134" s="38"/>
    </row>
    <row r="135" spans="2:21" x14ac:dyDescent="0.2">
      <c r="U135" s="38"/>
    </row>
    <row r="136" spans="2:21" x14ac:dyDescent="0.2">
      <c r="U136" s="38"/>
    </row>
    <row r="137" spans="2:21" x14ac:dyDescent="0.2">
      <c r="U137" s="38"/>
    </row>
    <row r="138" spans="2:21" ht="17" customHeight="1" x14ac:dyDescent="0.2">
      <c r="L138" s="13"/>
      <c r="U138" s="38"/>
    </row>
    <row r="139" spans="2:21" ht="23" customHeight="1" x14ac:dyDescent="0.2"/>
    <row r="140" spans="2:21" ht="42" customHeight="1" x14ac:dyDescent="0.2">
      <c r="B140" s="12"/>
    </row>
    <row r="141" spans="2:21" ht="49" customHeight="1" x14ac:dyDescent="0.2">
      <c r="B141" s="12"/>
    </row>
    <row r="142" spans="2:21" ht="49" customHeight="1" x14ac:dyDescent="0.2">
      <c r="B142" s="12"/>
    </row>
    <row r="143" spans="2:21" x14ac:dyDescent="0.2">
      <c r="B143" s="12"/>
    </row>
    <row r="144" spans="2:21" x14ac:dyDescent="0.2">
      <c r="B144" s="12"/>
    </row>
    <row r="145" spans="2:2" x14ac:dyDescent="0.2">
      <c r="B145" s="12"/>
    </row>
    <row r="171" spans="4:11" ht="16" x14ac:dyDescent="0.2">
      <c r="D171" s="871"/>
      <c r="E171" s="871"/>
      <c r="F171" s="871"/>
      <c r="G171" s="871"/>
      <c r="H171" s="871"/>
      <c r="I171" s="871"/>
      <c r="J171" s="871"/>
      <c r="K171" s="871"/>
    </row>
    <row r="172" spans="4:11" x14ac:dyDescent="0.2">
      <c r="F172" s="872"/>
      <c r="G172" s="872"/>
      <c r="H172" s="872"/>
      <c r="I172" s="872"/>
      <c r="J172" s="872"/>
      <c r="K172" s="872"/>
    </row>
    <row r="173" spans="4:11" x14ac:dyDescent="0.2">
      <c r="D173" s="788"/>
      <c r="E173" s="48"/>
    </row>
    <row r="174" spans="4:11" x14ac:dyDescent="0.2">
      <c r="D174" s="788"/>
      <c r="E174" s="49"/>
    </row>
    <row r="175" spans="4:11" x14ac:dyDescent="0.2">
      <c r="D175" s="788"/>
      <c r="E175" s="48"/>
    </row>
    <row r="176" spans="4:11" x14ac:dyDescent="0.2">
      <c r="D176" s="788"/>
      <c r="E176" s="48"/>
    </row>
    <row r="177" spans="4:11" x14ac:dyDescent="0.2">
      <c r="D177" s="788"/>
      <c r="E177" s="50"/>
      <c r="F177" s="870"/>
      <c r="G177" s="870"/>
      <c r="H177" s="870"/>
      <c r="I177" s="870"/>
      <c r="J177" s="870"/>
      <c r="K177" s="870"/>
    </row>
    <row r="178" spans="4:11" x14ac:dyDescent="0.2">
      <c r="D178" s="787"/>
      <c r="E178" s="48"/>
    </row>
    <row r="179" spans="4:11" x14ac:dyDescent="0.2">
      <c r="D179" s="787"/>
      <c r="E179" s="49"/>
    </row>
    <row r="180" spans="4:11" x14ac:dyDescent="0.2">
      <c r="D180" s="787"/>
      <c r="E180" s="48"/>
    </row>
    <row r="181" spans="4:11" x14ac:dyDescent="0.2">
      <c r="D181" s="787"/>
      <c r="E181" s="48"/>
    </row>
    <row r="182" spans="4:11" x14ac:dyDescent="0.2">
      <c r="D182" s="787"/>
      <c r="E182" s="50"/>
      <c r="F182" s="870"/>
      <c r="G182" s="870"/>
      <c r="H182" s="870"/>
      <c r="I182" s="870"/>
      <c r="J182" s="870"/>
      <c r="K182" s="870"/>
    </row>
  </sheetData>
  <sheetProtection algorithmName="SHA-512" hashValue="1TdfD2/AdQOmD8hIJciD5CkseDUjoMSwFb6JSR3Sl//aBvSEyd6GIcE9woNYu2xyHu1dDDm7nX3S7CcfjPPxPQ==" saltValue="QtSG+X3ZEHbjSEFqx9+9pw==" spinCount="100000" sheet="1" objects="1" scenarios="1"/>
  <mergeCells count="58">
    <mergeCell ref="B3:B40"/>
    <mergeCell ref="B102:B105"/>
    <mergeCell ref="D92:D98"/>
    <mergeCell ref="B44:B98"/>
    <mergeCell ref="D44:K44"/>
    <mergeCell ref="D61:D70"/>
    <mergeCell ref="D102:E102"/>
    <mergeCell ref="D103:E103"/>
    <mergeCell ref="K21:L21"/>
    <mergeCell ref="K22:L22"/>
    <mergeCell ref="G102:H102"/>
    <mergeCell ref="G103:H103"/>
    <mergeCell ref="D72:D81"/>
    <mergeCell ref="J102:K102"/>
    <mergeCell ref="J103:K103"/>
    <mergeCell ref="G17:G22"/>
    <mergeCell ref="K36:L41"/>
    <mergeCell ref="D3:G3"/>
    <mergeCell ref="I3:L3"/>
    <mergeCell ref="K18:L18"/>
    <mergeCell ref="I17:L17"/>
    <mergeCell ref="D31:F31"/>
    <mergeCell ref="K20:L20"/>
    <mergeCell ref="K23:L23"/>
    <mergeCell ref="K19:L19"/>
    <mergeCell ref="I25:L25"/>
    <mergeCell ref="L27:L32"/>
    <mergeCell ref="D15:F15"/>
    <mergeCell ref="K26:L26"/>
    <mergeCell ref="I34:J34"/>
    <mergeCell ref="J182:K182"/>
    <mergeCell ref="D171:K171"/>
    <mergeCell ref="F172:G172"/>
    <mergeCell ref="H172:I172"/>
    <mergeCell ref="J172:K172"/>
    <mergeCell ref="D178:D182"/>
    <mergeCell ref="F177:G177"/>
    <mergeCell ref="F182:G182"/>
    <mergeCell ref="H177:I177"/>
    <mergeCell ref="H182:I182"/>
    <mergeCell ref="D173:D177"/>
    <mergeCell ref="J177:K177"/>
    <mergeCell ref="D45:D59"/>
    <mergeCell ref="D83:D90"/>
    <mergeCell ref="V92:V98"/>
    <mergeCell ref="V44:AC44"/>
    <mergeCell ref="V83:V90"/>
    <mergeCell ref="M44:T44"/>
    <mergeCell ref="U80:U89"/>
    <mergeCell ref="U50:U60"/>
    <mergeCell ref="V45:V59"/>
    <mergeCell ref="V61:V70"/>
    <mergeCell ref="V72:V81"/>
    <mergeCell ref="M72:M81"/>
    <mergeCell ref="M61:M70"/>
    <mergeCell ref="M45:M59"/>
    <mergeCell ref="M92:M98"/>
    <mergeCell ref="M83:M90"/>
  </mergeCells>
  <phoneticPr fontId="14" type="noConversion"/>
  <hyperlinks>
    <hyperlink ref="J15" r:id="rId1" xr:uid="{E3C719CD-AFCC-6F4D-B000-3255CBF20445}"/>
    <hyperlink ref="K15" r:id="rId2" xr:uid="{1C702593-D5E7-0243-85B6-0941830C60AA}"/>
    <hyperlink ref="L15" r:id="rId3" xr:uid="{900AE6B8-1CEC-8A45-8FF8-BB69E2BDA058}"/>
  </hyperlinks>
  <pageMargins left="0.7" right="0.7" top="0.75" bottom="0.75" header="0.3" footer="0.3"/>
  <pageSetup orientation="portrait" horizontalDpi="0" verticalDpi="0"/>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298B-D11C-6F47-A665-0694EB9DD75B}">
  <dimension ref="B1:AE112"/>
  <sheetViews>
    <sheetView zoomScaleNormal="100" workbookViewId="0">
      <selection activeCell="D66" sqref="D66"/>
    </sheetView>
  </sheetViews>
  <sheetFormatPr baseColWidth="10" defaultColWidth="8.83203125" defaultRowHeight="15" x14ac:dyDescent="0.2"/>
  <cols>
    <col min="1" max="1" width="5.83203125" style="1" customWidth="1"/>
    <col min="2" max="2" width="8.83203125" style="1"/>
    <col min="3" max="3" width="5.6640625" style="1" customWidth="1"/>
    <col min="4" max="4" width="34.1640625" style="1" bestFit="1" customWidth="1"/>
    <col min="5" max="5" width="34.83203125" style="1" bestFit="1" customWidth="1"/>
    <col min="6" max="6" width="23.83203125" style="1" bestFit="1" customWidth="1"/>
    <col min="7" max="7" width="21" style="1" customWidth="1"/>
    <col min="8" max="8" width="16.83203125" style="1" customWidth="1"/>
    <col min="9" max="9" width="21.83203125" style="1" bestFit="1" customWidth="1"/>
    <col min="10" max="10" width="22.5" style="1" customWidth="1"/>
    <col min="11" max="11" width="22.33203125" style="1" bestFit="1" customWidth="1"/>
    <col min="12" max="12" width="18.33203125" style="1" bestFit="1" customWidth="1"/>
    <col min="13" max="13" width="21.6640625" style="1" customWidth="1"/>
    <col min="14" max="14" width="34.83203125" style="1" bestFit="1" customWidth="1"/>
    <col min="15" max="15" width="12.83203125" style="1" customWidth="1"/>
    <col min="16" max="16" width="11.1640625" style="1" bestFit="1" customWidth="1"/>
    <col min="17" max="17" width="10" style="1" customWidth="1"/>
    <col min="18" max="18" width="12.1640625" style="1" bestFit="1" customWidth="1"/>
    <col min="19" max="19" width="35" style="1" bestFit="1" customWidth="1"/>
    <col min="20" max="20" width="21.5" style="1" bestFit="1" customWidth="1"/>
    <col min="21" max="21" width="7" style="1" customWidth="1"/>
    <col min="22" max="22" width="18.33203125" style="1" customWidth="1"/>
    <col min="23" max="23" width="34.83203125" style="1" bestFit="1" customWidth="1"/>
    <col min="24" max="24" width="14.83203125" style="1" bestFit="1" customWidth="1"/>
    <col min="25" max="25" width="11.1640625" style="1" bestFit="1" customWidth="1"/>
    <col min="26" max="26" width="9" style="1" customWidth="1"/>
    <col min="27" max="27" width="12.1640625" style="1" bestFit="1" customWidth="1"/>
    <col min="28" max="28" width="35" style="1" bestFit="1" customWidth="1"/>
    <col min="29" max="29" width="21.5" style="1" bestFit="1" customWidth="1"/>
    <col min="30" max="16384" width="8.83203125" style="1"/>
  </cols>
  <sheetData>
    <row r="1" spans="2:19" x14ac:dyDescent="0.2">
      <c r="B1" s="12"/>
    </row>
    <row r="2" spans="2:19" ht="15" customHeight="1" thickBot="1" x14ac:dyDescent="0.25">
      <c r="B2" s="12"/>
    </row>
    <row r="3" spans="2:19" ht="19" customHeight="1" x14ac:dyDescent="0.25">
      <c r="B3" s="757" t="s">
        <v>25</v>
      </c>
      <c r="D3" s="848" t="s">
        <v>18</v>
      </c>
      <c r="E3" s="878"/>
      <c r="F3" s="878"/>
      <c r="G3" s="849"/>
      <c r="H3" s="4"/>
      <c r="I3" s="848" t="s">
        <v>16</v>
      </c>
      <c r="J3" s="878"/>
      <c r="K3" s="878"/>
      <c r="L3" s="849"/>
      <c r="O3" s="4"/>
    </row>
    <row r="4" spans="2:19" ht="18" thickBot="1" x14ac:dyDescent="0.25">
      <c r="B4" s="758"/>
      <c r="D4" s="291" t="s">
        <v>531</v>
      </c>
      <c r="E4" s="292" t="s">
        <v>14</v>
      </c>
      <c r="F4" s="292" t="s">
        <v>20</v>
      </c>
      <c r="G4" s="363" t="s">
        <v>15</v>
      </c>
      <c r="H4" s="5"/>
      <c r="I4" s="378"/>
      <c r="J4" s="292" t="s">
        <v>130</v>
      </c>
      <c r="K4" s="366" t="s">
        <v>129</v>
      </c>
      <c r="L4" s="363" t="s">
        <v>131</v>
      </c>
    </row>
    <row r="5" spans="2:19" ht="15" customHeight="1" x14ac:dyDescent="0.2">
      <c r="B5" s="758"/>
      <c r="D5" s="382" t="s">
        <v>34</v>
      </c>
      <c r="E5" s="560" t="str">
        <f>'1. MADWEC Installation'!E5</f>
        <v>41.2354° N, 71.0237° W</v>
      </c>
      <c r="F5" s="560" t="str">
        <f>'1. MADWEC Installation'!F5</f>
        <v>40.9334° N, 70.7985° W</v>
      </c>
      <c r="G5" s="639" t="str">
        <f>'1. MADWEC Installation'!G5</f>
        <v>59.0605° N, 152.0117° W</v>
      </c>
      <c r="H5" s="60"/>
      <c r="I5" s="353" t="s">
        <v>93</v>
      </c>
      <c r="J5" s="657">
        <f>'1. MADWEC Installation'!J5</f>
        <v>18</v>
      </c>
      <c r="K5" s="657">
        <f>'1. MADWEC Installation'!K5</f>
        <v>18</v>
      </c>
      <c r="L5" s="581">
        <f>'1. MADWEC Installation'!L5</f>
        <v>10</v>
      </c>
      <c r="M5" s="899" t="s">
        <v>1003</v>
      </c>
      <c r="N5" s="896"/>
      <c r="O5" s="52"/>
    </row>
    <row r="6" spans="2:19" x14ac:dyDescent="0.2">
      <c r="B6" s="758"/>
      <c r="D6" s="356" t="s">
        <v>532</v>
      </c>
      <c r="E6" s="640" t="str">
        <f>'1. MADWEC Installation'!E6</f>
        <v>Massachusetts State Waters</v>
      </c>
      <c r="F6" s="640" t="str">
        <f>'1. MADWEC Installation'!F6</f>
        <v>Massachusetts Federal Waters</v>
      </c>
      <c r="G6" s="582" t="str">
        <f>'1. MADWEC Installation'!G6</f>
        <v>Alaska State Waters</v>
      </c>
      <c r="H6" s="60"/>
      <c r="I6" s="354" t="s">
        <v>27</v>
      </c>
      <c r="J6" s="640">
        <f>'1. MADWEC Installation'!J6</f>
        <v>400</v>
      </c>
      <c r="K6" s="640">
        <f>'1. MADWEC Installation'!K6</f>
        <v>400</v>
      </c>
      <c r="L6" s="582">
        <f>'1. MADWEC Installation'!L6</f>
        <v>400</v>
      </c>
      <c r="M6" s="737"/>
      <c r="N6" s="897"/>
      <c r="O6" s="62"/>
    </row>
    <row r="7" spans="2:19" x14ac:dyDescent="0.2">
      <c r="B7" s="758"/>
      <c r="D7" s="356" t="s">
        <v>536</v>
      </c>
      <c r="E7" s="641" t="str">
        <f>'1. MADWEC Installation'!E7</f>
        <v>41.5242° N, 70.6712° W</v>
      </c>
      <c r="F7" s="642" t="str">
        <f>'1. MADWEC Installation'!F7</f>
        <v>41.5242° N, 70.6712° W</v>
      </c>
      <c r="G7" s="582" t="str">
        <f>'1. MADWEC Installation'!G7</f>
        <v>59.6371° N, 151.4522° W</v>
      </c>
      <c r="H7" s="60"/>
      <c r="I7" s="355" t="s">
        <v>74</v>
      </c>
      <c r="J7" s="644">
        <f>'1. MADWEC Installation'!J7</f>
        <v>15000</v>
      </c>
      <c r="K7" s="644">
        <f>'1. MADWEC Installation'!K7</f>
        <v>15000</v>
      </c>
      <c r="L7" s="645">
        <f>'1. MADWEC Installation'!L7</f>
        <v>11375</v>
      </c>
      <c r="M7" s="737"/>
      <c r="N7" s="897"/>
      <c r="O7" s="52"/>
    </row>
    <row r="8" spans="2:19" ht="16" customHeight="1" x14ac:dyDescent="0.2">
      <c r="B8" s="758"/>
      <c r="D8" s="355" t="s">
        <v>540</v>
      </c>
      <c r="E8" s="640" t="str">
        <f>'1. MADWEC Installation'!E8</f>
        <v>WHOI</v>
      </c>
      <c r="F8" s="640" t="str">
        <f>'1. MADWEC Installation'!F8</f>
        <v>WHOI</v>
      </c>
      <c r="G8" s="582" t="str">
        <f>'1. MADWEC Installation'!G8</f>
        <v>City of Homer Port</v>
      </c>
      <c r="H8" s="60"/>
      <c r="I8" s="356" t="s">
        <v>30</v>
      </c>
      <c r="J8" s="640">
        <f>'1. MADWEC Installation'!J8</f>
        <v>1250</v>
      </c>
      <c r="K8" s="640">
        <f>'1. MADWEC Installation'!K8</f>
        <v>1250</v>
      </c>
      <c r="L8" s="646">
        <f>'1. MADWEC Installation'!L8</f>
        <v>947.91666666666663</v>
      </c>
      <c r="M8" s="737"/>
      <c r="N8" s="897"/>
    </row>
    <row r="9" spans="2:19" x14ac:dyDescent="0.2">
      <c r="B9" s="758"/>
      <c r="D9" s="356" t="s">
        <v>542</v>
      </c>
      <c r="E9" s="640">
        <f>'1. MADWEC Installation'!E9</f>
        <v>14</v>
      </c>
      <c r="F9" s="640">
        <f>'1. MADWEC Installation'!F9</f>
        <v>14</v>
      </c>
      <c r="G9" s="582">
        <f>'1. MADWEC Installation'!G9</f>
        <v>0</v>
      </c>
      <c r="H9" s="60"/>
      <c r="I9" s="354" t="s">
        <v>33</v>
      </c>
      <c r="J9" s="640" t="str">
        <f>'1. MADWEC Installation'!J9</f>
        <v>Woods Hole, MA</v>
      </c>
      <c r="K9" s="640" t="str">
        <f>'1. MADWEC Installation'!K9</f>
        <v>Wood's Hole, MA</v>
      </c>
      <c r="L9" s="582" t="str">
        <f>'1. MADWEC Installation'!L9</f>
        <v>Homer, AK</v>
      </c>
      <c r="M9" s="737"/>
      <c r="N9" s="897"/>
      <c r="O9" s="62"/>
    </row>
    <row r="10" spans="2:19" ht="15" customHeight="1" x14ac:dyDescent="0.2">
      <c r="B10" s="758"/>
      <c r="D10" s="359" t="s">
        <v>537</v>
      </c>
      <c r="E10" s="640" t="str">
        <f>'1. MADWEC Installation'!E10</f>
        <v>WHOI</v>
      </c>
      <c r="F10" s="640" t="str">
        <f>'1. MADWEC Installation'!F10</f>
        <v>WHOI</v>
      </c>
      <c r="G10" s="582" t="str">
        <f>'1. MADWEC Installation'!G10</f>
        <v>USFWS</v>
      </c>
      <c r="I10" s="355" t="s">
        <v>0</v>
      </c>
      <c r="J10" s="640">
        <f>'1. MADWEC Installation'!J10</f>
        <v>60</v>
      </c>
      <c r="K10" s="640">
        <f>'1. MADWEC Installation'!K10</f>
        <v>60</v>
      </c>
      <c r="L10" s="582">
        <f>'1. MADWEC Installation'!L10</f>
        <v>120</v>
      </c>
      <c r="M10" s="737"/>
      <c r="N10" s="897"/>
      <c r="O10" s="52"/>
    </row>
    <row r="11" spans="2:19" x14ac:dyDescent="0.2">
      <c r="B11" s="758"/>
      <c r="D11" s="355" t="s">
        <v>538</v>
      </c>
      <c r="E11" s="642" t="str">
        <f>'1. MADWEC Installation'!E11</f>
        <v>41.6362° N, 70.9342° W</v>
      </c>
      <c r="F11" s="642" t="str">
        <f>'1. MADWEC Installation'!F11</f>
        <v>41.6362° N, 70.9342° W</v>
      </c>
      <c r="G11" s="582" t="str">
        <f>'1. MADWEC Installation'!G11</f>
        <v>59.6371° N, 151.4522° W</v>
      </c>
      <c r="H11" s="60"/>
      <c r="I11" s="355" t="s">
        <v>1</v>
      </c>
      <c r="J11" s="640">
        <f>'1. MADWEC Installation'!J11</f>
        <v>17</v>
      </c>
      <c r="K11" s="640">
        <f>'1. MADWEC Installation'!K11</f>
        <v>17</v>
      </c>
      <c r="L11" s="582">
        <f>'1. MADWEC Installation'!L11</f>
        <v>33</v>
      </c>
      <c r="M11" s="737"/>
      <c r="N11" s="897"/>
      <c r="O11" s="52"/>
    </row>
    <row r="12" spans="2:19" ht="16" customHeight="1" x14ac:dyDescent="0.2">
      <c r="B12" s="758"/>
      <c r="D12" s="356" t="s">
        <v>539</v>
      </c>
      <c r="E12" s="640" t="str">
        <f>'1. MADWEC Installation'!E12</f>
        <v>New Bedford Harbor</v>
      </c>
      <c r="F12" s="640" t="str">
        <f>'1. MADWEC Installation'!F12</f>
        <v>New Bedford Harbor</v>
      </c>
      <c r="G12" s="582" t="str">
        <f>'1. MADWEC Installation'!G12</f>
        <v>City of Homer Port</v>
      </c>
      <c r="H12" s="60"/>
      <c r="I12" s="355" t="s">
        <v>2</v>
      </c>
      <c r="J12" s="640">
        <f>'1. MADWEC Installation'!J12</f>
        <v>5</v>
      </c>
      <c r="K12" s="640">
        <f>'1. MADWEC Installation'!K12</f>
        <v>5</v>
      </c>
      <c r="L12" s="582">
        <f>'1. MADWEC Installation'!L12</f>
        <v>11.5</v>
      </c>
      <c r="M12" s="737"/>
      <c r="N12" s="897"/>
      <c r="O12" s="52"/>
    </row>
    <row r="13" spans="2:19" ht="16" thickBot="1" x14ac:dyDescent="0.25">
      <c r="B13" s="758"/>
      <c r="D13" s="357" t="s">
        <v>541</v>
      </c>
      <c r="E13" s="643">
        <f>'1. MADWEC Installation'!E13</f>
        <v>17</v>
      </c>
      <c r="F13" s="643">
        <f>'1. MADWEC Installation'!F13</f>
        <v>48</v>
      </c>
      <c r="G13" s="583">
        <f>'1. MADWEC Installation'!G13</f>
        <v>46</v>
      </c>
      <c r="H13" s="60"/>
      <c r="I13" s="355" t="s">
        <v>86</v>
      </c>
      <c r="J13" s="640">
        <f>'1. MADWEC Installation'!J13</f>
        <v>4600</v>
      </c>
      <c r="K13" s="640">
        <f>'1. MADWEC Installation'!K13</f>
        <v>4600</v>
      </c>
      <c r="L13" s="582">
        <f>'1. MADWEC Installation'!L13</f>
        <v>2000</v>
      </c>
      <c r="M13" s="737"/>
      <c r="N13" s="897"/>
      <c r="O13" s="52"/>
    </row>
    <row r="14" spans="2:19" ht="34" customHeight="1" thickBot="1" x14ac:dyDescent="0.25">
      <c r="B14" s="758"/>
      <c r="D14" s="110"/>
      <c r="E14" s="52"/>
      <c r="F14" s="60"/>
      <c r="G14" s="59"/>
      <c r="H14" s="60"/>
      <c r="I14" s="355" t="s">
        <v>3</v>
      </c>
      <c r="J14" s="647" t="str">
        <f>'1. MADWEC Installation'!J14</f>
        <v>Woods Hole Oceanographic Institution</v>
      </c>
      <c r="K14" s="647" t="str">
        <f>'1. MADWEC Installation'!K14</f>
        <v>Woods Hole Oceanographic Institution</v>
      </c>
      <c r="L14" s="648" t="str">
        <f>'1. MADWEC Installation'!L14</f>
        <v>USFWS</v>
      </c>
      <c r="M14" s="737"/>
      <c r="N14" s="897"/>
      <c r="O14" s="52"/>
    </row>
    <row r="15" spans="2:19" ht="20" thickBot="1" x14ac:dyDescent="0.3">
      <c r="B15" s="758"/>
      <c r="D15" s="848" t="s">
        <v>920</v>
      </c>
      <c r="E15" s="849"/>
      <c r="G15" s="61"/>
      <c r="H15" s="60"/>
      <c r="I15" s="360" t="s">
        <v>83</v>
      </c>
      <c r="J15" s="643" t="str">
        <f>'1. MADWEC Installation'!J15</f>
        <v>WHOI</v>
      </c>
      <c r="K15" s="643" t="str">
        <f>'1. MADWEC Installation'!K15</f>
        <v>WHOI</v>
      </c>
      <c r="L15" s="583" t="str">
        <f>'1. MADWEC Installation'!L15</f>
        <v>USFWS</v>
      </c>
      <c r="M15" s="900"/>
      <c r="N15" s="898"/>
      <c r="O15" s="52"/>
    </row>
    <row r="16" spans="2:19" ht="15" customHeight="1" thickBot="1" x14ac:dyDescent="0.25">
      <c r="B16" s="758"/>
      <c r="D16" s="299" t="s">
        <v>62</v>
      </c>
      <c r="E16" s="346" t="s">
        <v>900</v>
      </c>
      <c r="G16" s="59"/>
      <c r="H16" s="60"/>
      <c r="I16" s="60"/>
      <c r="O16" s="788"/>
      <c r="R16" s="59"/>
      <c r="S16" s="60"/>
    </row>
    <row r="17" spans="2:31" ht="19" customHeight="1" x14ac:dyDescent="0.25">
      <c r="B17" s="758"/>
      <c r="D17" s="554" t="s">
        <v>923</v>
      </c>
      <c r="E17" s="707">
        <f>'1. MADWEC CapEx'!K4</f>
        <v>777</v>
      </c>
      <c r="G17" s="61"/>
      <c r="H17" s="60"/>
      <c r="I17" s="848" t="s">
        <v>24</v>
      </c>
      <c r="J17" s="878"/>
      <c r="K17" s="849"/>
      <c r="O17" s="788"/>
    </row>
    <row r="18" spans="2:31" ht="15" customHeight="1" thickBot="1" x14ac:dyDescent="0.25">
      <c r="B18" s="758"/>
      <c r="D18" s="553" t="s">
        <v>924</v>
      </c>
      <c r="E18" s="582">
        <f>'1. MADWEC CapEx'!K5</f>
        <v>329</v>
      </c>
      <c r="G18" s="59"/>
      <c r="H18" s="60"/>
      <c r="I18" s="379" t="s">
        <v>22</v>
      </c>
      <c r="J18" s="380" t="s">
        <v>23</v>
      </c>
      <c r="K18" s="381" t="s">
        <v>81</v>
      </c>
      <c r="M18" s="92"/>
      <c r="O18" s="788"/>
    </row>
    <row r="19" spans="2:31" ht="15" customHeight="1" x14ac:dyDescent="0.2">
      <c r="B19" s="758"/>
      <c r="D19" s="553" t="s">
        <v>926</v>
      </c>
      <c r="E19" s="582">
        <f>'1. MADWEC CapEx'!K6</f>
        <v>534</v>
      </c>
      <c r="G19" s="61"/>
      <c r="H19" s="60"/>
      <c r="I19" s="353" t="s">
        <v>132</v>
      </c>
      <c r="J19" s="614">
        <v>1</v>
      </c>
      <c r="K19" s="557">
        <f>'1. MADWEC Installation'!F33</f>
        <v>45.32</v>
      </c>
      <c r="M19" s="92"/>
      <c r="O19" s="788"/>
    </row>
    <row r="20" spans="2:31" ht="15" customHeight="1" x14ac:dyDescent="0.2">
      <c r="B20" s="758"/>
      <c r="D20" s="553" t="s">
        <v>927</v>
      </c>
      <c r="E20" s="582">
        <f>'1. MADWEC CapEx'!K7</f>
        <v>415</v>
      </c>
      <c r="I20" s="355" t="s">
        <v>133</v>
      </c>
      <c r="J20" s="612">
        <v>2</v>
      </c>
      <c r="K20" s="650">
        <f>'1. MADWEC Installation'!F34</f>
        <v>45.32</v>
      </c>
      <c r="M20" s="92"/>
    </row>
    <row r="21" spans="2:31" ht="16" customHeight="1" x14ac:dyDescent="0.2">
      <c r="B21" s="758"/>
      <c r="D21" s="553" t="s">
        <v>929</v>
      </c>
      <c r="E21" s="582">
        <f>'1. MADWEC CapEx'!K8</f>
        <v>176</v>
      </c>
      <c r="I21" s="356" t="s">
        <v>134</v>
      </c>
      <c r="J21" s="632">
        <v>1</v>
      </c>
      <c r="K21" s="649">
        <f>'1. MADWEC Installation'!F35</f>
        <v>40.950000000000003</v>
      </c>
      <c r="M21" s="92"/>
      <c r="X21" s="4"/>
    </row>
    <row r="22" spans="2:31" ht="16" customHeight="1" thickBot="1" x14ac:dyDescent="0.25">
      <c r="B22" s="758"/>
      <c r="D22" s="555" t="s">
        <v>930</v>
      </c>
      <c r="E22" s="583">
        <f>'1. MADWEC CapEx'!K9</f>
        <v>285</v>
      </c>
      <c r="I22" s="355" t="s">
        <v>135</v>
      </c>
      <c r="J22" s="632">
        <v>1</v>
      </c>
      <c r="K22" s="650">
        <f>'1. MADWEC Installation'!F36</f>
        <v>40.950000000000003</v>
      </c>
      <c r="T22" s="4"/>
      <c r="U22" s="4"/>
      <c r="V22" s="4"/>
      <c r="AE22" s="4"/>
    </row>
    <row r="23" spans="2:31" ht="16" customHeight="1" thickBot="1" x14ac:dyDescent="0.25">
      <c r="B23" s="758"/>
      <c r="I23" s="355" t="s">
        <v>136</v>
      </c>
      <c r="J23" s="612">
        <v>1</v>
      </c>
      <c r="K23" s="649">
        <f>'1. MADWEC Installation'!F37</f>
        <v>46.22</v>
      </c>
      <c r="T23" s="4"/>
      <c r="U23" s="4"/>
      <c r="V23" s="4"/>
      <c r="AE23" s="4"/>
    </row>
    <row r="24" spans="2:31" ht="19" x14ac:dyDescent="0.25">
      <c r="B24" s="758"/>
      <c r="D24" s="848" t="s">
        <v>883</v>
      </c>
      <c r="E24" s="878"/>
      <c r="F24" s="849"/>
      <c r="I24" s="355" t="s">
        <v>137</v>
      </c>
      <c r="J24" s="612">
        <v>2</v>
      </c>
      <c r="K24" s="650">
        <f>'1. MADWEC Installation'!F38</f>
        <v>46.22</v>
      </c>
    </row>
    <row r="25" spans="2:31" ht="17" thickBot="1" x14ac:dyDescent="0.25">
      <c r="B25" s="758"/>
      <c r="D25" s="350" t="s">
        <v>39</v>
      </c>
      <c r="E25" s="351" t="s">
        <v>17</v>
      </c>
      <c r="F25" s="352" t="s">
        <v>40</v>
      </c>
      <c r="I25" s="356" t="s">
        <v>138</v>
      </c>
      <c r="J25" s="632">
        <v>1</v>
      </c>
      <c r="K25" s="649">
        <f>'1. MADWEC Installation'!F39</f>
        <v>39.369999999999997</v>
      </c>
    </row>
    <row r="26" spans="2:31" ht="16" thickBot="1" x14ac:dyDescent="0.25">
      <c r="B26" s="758"/>
      <c r="D26" s="705" t="s">
        <v>1002</v>
      </c>
      <c r="E26" s="614">
        <v>0.12</v>
      </c>
      <c r="F26" s="706" t="s">
        <v>84</v>
      </c>
      <c r="I26" s="357" t="s">
        <v>139</v>
      </c>
      <c r="J26" s="634">
        <v>1</v>
      </c>
      <c r="K26" s="651">
        <f>'1. MADWEC Installation'!F40</f>
        <v>39.369999999999997</v>
      </c>
    </row>
    <row r="27" spans="2:31" ht="15" customHeight="1" thickBot="1" x14ac:dyDescent="0.25">
      <c r="B27" s="758"/>
      <c r="D27" s="377" t="s">
        <v>145</v>
      </c>
      <c r="E27" s="627">
        <v>4</v>
      </c>
      <c r="F27" s="374" t="s">
        <v>76</v>
      </c>
    </row>
    <row r="28" spans="2:31" ht="15" customHeight="1" x14ac:dyDescent="0.25">
      <c r="B28" s="758"/>
      <c r="D28" s="355" t="s">
        <v>146</v>
      </c>
      <c r="E28" s="652">
        <v>2</v>
      </c>
      <c r="F28" s="338" t="s">
        <v>76</v>
      </c>
      <c r="I28" s="848" t="s">
        <v>910</v>
      </c>
      <c r="J28" s="849"/>
    </row>
    <row r="29" spans="2:31" ht="15" customHeight="1" thickBot="1" x14ac:dyDescent="0.25">
      <c r="B29" s="758"/>
      <c r="D29" s="355" t="s">
        <v>147</v>
      </c>
      <c r="E29" s="652">
        <v>16</v>
      </c>
      <c r="F29" s="338" t="s">
        <v>76</v>
      </c>
      <c r="I29" s="385" t="s">
        <v>908</v>
      </c>
      <c r="J29" s="387" t="s">
        <v>909</v>
      </c>
    </row>
    <row r="30" spans="2:31" ht="15" customHeight="1" x14ac:dyDescent="0.2">
      <c r="B30" s="758"/>
      <c r="D30" s="355" t="s">
        <v>148</v>
      </c>
      <c r="E30" s="652">
        <v>2</v>
      </c>
      <c r="F30" s="338" t="s">
        <v>76</v>
      </c>
      <c r="I30" s="377" t="s">
        <v>151</v>
      </c>
      <c r="J30" s="654">
        <v>4</v>
      </c>
    </row>
    <row r="31" spans="2:31" ht="15" customHeight="1" x14ac:dyDescent="0.2">
      <c r="B31" s="758"/>
      <c r="D31" s="355" t="s">
        <v>13</v>
      </c>
      <c r="E31" s="652">
        <v>0.1</v>
      </c>
      <c r="F31" s="338" t="s">
        <v>84</v>
      </c>
      <c r="I31" s="355" t="s">
        <v>150</v>
      </c>
      <c r="J31" s="570">
        <v>2</v>
      </c>
      <c r="W31" s="4"/>
      <c r="X31" s="4"/>
      <c r="Y31" s="4"/>
    </row>
    <row r="32" spans="2:31" ht="15" customHeight="1" thickBot="1" x14ac:dyDescent="0.25">
      <c r="B32" s="758"/>
      <c r="D32" s="360" t="s">
        <v>149</v>
      </c>
      <c r="E32" s="653">
        <v>1</v>
      </c>
      <c r="F32" s="336" t="s">
        <v>76</v>
      </c>
      <c r="H32" s="4"/>
      <c r="I32" s="356" t="s">
        <v>152</v>
      </c>
      <c r="J32" s="655">
        <v>4</v>
      </c>
      <c r="W32" s="4"/>
      <c r="X32" s="4"/>
      <c r="Y32" s="4"/>
    </row>
    <row r="33" spans="2:29" ht="15" customHeight="1" x14ac:dyDescent="0.2">
      <c r="B33" s="758"/>
      <c r="I33" s="356" t="s">
        <v>153</v>
      </c>
      <c r="J33" s="655">
        <v>2</v>
      </c>
      <c r="L33" s="51"/>
      <c r="W33" s="4"/>
      <c r="X33" s="4"/>
      <c r="Y33" s="4"/>
    </row>
    <row r="34" spans="2:29" ht="15" customHeight="1" x14ac:dyDescent="0.2">
      <c r="B34" s="758"/>
      <c r="I34" s="356" t="s">
        <v>154</v>
      </c>
      <c r="J34" s="655">
        <v>4</v>
      </c>
      <c r="L34" s="51"/>
      <c r="W34" s="4"/>
      <c r="X34" s="4"/>
      <c r="Y34" s="4"/>
    </row>
    <row r="35" spans="2:29" ht="15" customHeight="1" thickBot="1" x14ac:dyDescent="0.25">
      <c r="B35" s="759"/>
      <c r="I35" s="360" t="s">
        <v>155</v>
      </c>
      <c r="J35" s="656">
        <v>2</v>
      </c>
      <c r="L35" s="51"/>
      <c r="W35" s="4"/>
      <c r="X35" s="4"/>
      <c r="Y35" s="4"/>
    </row>
    <row r="36" spans="2:29" ht="15" customHeight="1" x14ac:dyDescent="0.2">
      <c r="B36" s="14"/>
      <c r="E36" s="48"/>
      <c r="F36" s="52"/>
      <c r="J36" s="48" t="s">
        <v>156</v>
      </c>
      <c r="L36" s="51"/>
      <c r="W36" s="4"/>
      <c r="X36" s="4"/>
      <c r="Y36" s="4"/>
    </row>
    <row r="37" spans="2:29" ht="15" customHeight="1" x14ac:dyDescent="0.2">
      <c r="B37" s="14"/>
      <c r="E37" s="48"/>
      <c r="F37" s="52"/>
      <c r="L37" s="51"/>
      <c r="W37" s="4"/>
      <c r="X37" s="4"/>
      <c r="Y37" s="4"/>
    </row>
    <row r="38" spans="2:29" ht="15" customHeight="1" thickBot="1" x14ac:dyDescent="0.25">
      <c r="B38" s="14"/>
      <c r="D38" s="5"/>
      <c r="W38" s="4"/>
      <c r="X38" s="4"/>
      <c r="Y38" s="4"/>
    </row>
    <row r="39" spans="2:29" ht="19" customHeight="1" x14ac:dyDescent="0.25">
      <c r="B39" s="757" t="s">
        <v>51</v>
      </c>
      <c r="D39" s="863" t="s">
        <v>47</v>
      </c>
      <c r="E39" s="864"/>
      <c r="F39" s="864"/>
      <c r="G39" s="864"/>
      <c r="H39" s="864"/>
      <c r="I39" s="864"/>
      <c r="J39" s="864"/>
      <c r="K39" s="865"/>
      <c r="M39" s="863" t="s">
        <v>65</v>
      </c>
      <c r="N39" s="864"/>
      <c r="O39" s="864"/>
      <c r="P39" s="864"/>
      <c r="Q39" s="864"/>
      <c r="R39" s="864"/>
      <c r="S39" s="864"/>
      <c r="T39" s="865"/>
      <c r="U39" s="4"/>
      <c r="V39" s="863" t="s">
        <v>52</v>
      </c>
      <c r="W39" s="864"/>
      <c r="X39" s="864"/>
      <c r="Y39" s="864"/>
      <c r="Z39" s="864"/>
      <c r="AA39" s="864"/>
      <c r="AB39" s="864"/>
      <c r="AC39" s="865"/>
    </row>
    <row r="40" spans="2:29" ht="15" customHeight="1" x14ac:dyDescent="0.2">
      <c r="B40" s="758"/>
      <c r="D40" s="857" t="s">
        <v>143</v>
      </c>
      <c r="E40" s="24" t="s">
        <v>4</v>
      </c>
      <c r="F40" s="25" t="s">
        <v>35</v>
      </c>
      <c r="G40" s="26" t="s">
        <v>5</v>
      </c>
      <c r="H40" s="25" t="s">
        <v>77</v>
      </c>
      <c r="I40" s="26" t="s">
        <v>31</v>
      </c>
      <c r="J40" s="26" t="s">
        <v>29</v>
      </c>
      <c r="K40" s="34" t="s">
        <v>32</v>
      </c>
      <c r="M40" s="857" t="s">
        <v>143</v>
      </c>
      <c r="N40" s="24" t="s">
        <v>4</v>
      </c>
      <c r="O40" s="25" t="s">
        <v>35</v>
      </c>
      <c r="P40" s="26" t="s">
        <v>5</v>
      </c>
      <c r="Q40" s="25" t="s">
        <v>6</v>
      </c>
      <c r="R40" s="26" t="s">
        <v>31</v>
      </c>
      <c r="S40" s="26" t="s">
        <v>29</v>
      </c>
      <c r="T40" s="34" t="s">
        <v>32</v>
      </c>
      <c r="U40" s="4"/>
      <c r="V40" s="857" t="s">
        <v>143</v>
      </c>
      <c r="W40" s="24" t="s">
        <v>4</v>
      </c>
      <c r="X40" s="25" t="s">
        <v>35</v>
      </c>
      <c r="Y40" s="26" t="s">
        <v>5</v>
      </c>
      <c r="Z40" s="25" t="s">
        <v>77</v>
      </c>
      <c r="AA40" s="26" t="s">
        <v>31</v>
      </c>
      <c r="AB40" s="26" t="s">
        <v>29</v>
      </c>
      <c r="AC40" s="34" t="s">
        <v>32</v>
      </c>
    </row>
    <row r="41" spans="2:29" ht="15" customHeight="1" x14ac:dyDescent="0.2">
      <c r="B41" s="758"/>
      <c r="D41" s="858"/>
      <c r="E41" s="39" t="s">
        <v>43</v>
      </c>
      <c r="F41" s="9" t="s">
        <v>75</v>
      </c>
      <c r="G41" s="40" t="s">
        <v>46</v>
      </c>
      <c r="H41" s="3">
        <f>(E9/$J$5)</f>
        <v>0.77777777777777779</v>
      </c>
      <c r="I41" s="64">
        <f>($J$6+$J$8)*H41</f>
        <v>1283.3333333333333</v>
      </c>
      <c r="J41" s="16">
        <f>((K21*J21)+(K22*J22))*H41</f>
        <v>63.7</v>
      </c>
      <c r="K41" s="8">
        <f>I41+J41</f>
        <v>1347.0333333333333</v>
      </c>
      <c r="M41" s="858"/>
      <c r="N41" s="39" t="s">
        <v>54</v>
      </c>
      <c r="O41" s="9" t="s">
        <v>115</v>
      </c>
      <c r="P41" s="40" t="s">
        <v>46</v>
      </c>
      <c r="Q41" s="3">
        <f>F9/K5</f>
        <v>0.77777777777777779</v>
      </c>
      <c r="R41" s="66">
        <f>($K$6+$K$8)*Q41</f>
        <v>1283.3333333333333</v>
      </c>
      <c r="S41" s="16">
        <f>((K21*J21)+(K22*J22))*Q41</f>
        <v>63.7</v>
      </c>
      <c r="T41" s="8">
        <f>R41+S41</f>
        <v>1347.0333333333333</v>
      </c>
      <c r="U41" s="4"/>
      <c r="V41" s="858"/>
      <c r="W41" s="39" t="s">
        <v>60</v>
      </c>
      <c r="X41" s="9" t="s">
        <v>116</v>
      </c>
      <c r="Y41" s="40" t="s">
        <v>46</v>
      </c>
      <c r="Z41" s="3">
        <f>G9/L5</f>
        <v>0</v>
      </c>
      <c r="AA41" s="64">
        <f>($L$6+$L$8)*Z41</f>
        <v>0</v>
      </c>
      <c r="AB41" s="16">
        <f>($K$19+$K$20)*Z41</f>
        <v>0</v>
      </c>
      <c r="AC41" s="8">
        <f>AA41+AB41</f>
        <v>0</v>
      </c>
    </row>
    <row r="42" spans="2:29" ht="15" customHeight="1" x14ac:dyDescent="0.2">
      <c r="B42" s="758"/>
      <c r="D42" s="858"/>
      <c r="E42" s="39" t="s">
        <v>42</v>
      </c>
      <c r="F42" s="9" t="s">
        <v>75</v>
      </c>
      <c r="G42" s="41" t="s">
        <v>8</v>
      </c>
      <c r="H42" s="45">
        <f>(E13/$J$5)</f>
        <v>0.94444444444444442</v>
      </c>
      <c r="I42" s="64">
        <f>($J$6+$J$8)*H42</f>
        <v>1558.3333333333333</v>
      </c>
      <c r="J42" s="16">
        <f>((K21*J21)+(K22*J22)+(K19*J19)+(K20*J20))*H42</f>
        <v>205.75666666666666</v>
      </c>
      <c r="K42" s="8">
        <f>I42+J42</f>
        <v>1764.09</v>
      </c>
      <c r="M42" s="858"/>
      <c r="N42" s="39" t="s">
        <v>157</v>
      </c>
      <c r="O42" s="9" t="s">
        <v>115</v>
      </c>
      <c r="P42" s="41" t="s">
        <v>8</v>
      </c>
      <c r="Q42" s="45">
        <f>F13/K5</f>
        <v>2.6666666666666665</v>
      </c>
      <c r="R42" s="66">
        <f>($K$6+$K$8)*Q42</f>
        <v>4400</v>
      </c>
      <c r="S42" s="16">
        <f>((K21*J21)+(K22*J22)+(K19*J19)+(K20*J20))*Q42</f>
        <v>580.96</v>
      </c>
      <c r="T42" s="8">
        <f t="shared" ref="T42:T45" si="0">R42+S42</f>
        <v>4980.96</v>
      </c>
      <c r="U42" s="787"/>
      <c r="V42" s="858"/>
      <c r="W42" s="39" t="s">
        <v>58</v>
      </c>
      <c r="X42" s="9" t="s">
        <v>116</v>
      </c>
      <c r="Y42" s="41" t="s">
        <v>8</v>
      </c>
      <c r="Z42" s="45">
        <f>G13/L5</f>
        <v>4.5999999999999996</v>
      </c>
      <c r="AA42" s="64">
        <f>($L$6+$L$8)*Z42</f>
        <v>6200.4166666666652</v>
      </c>
      <c r="AB42" s="16">
        <f>($K$19+$K$20)*Z42</f>
        <v>416.94399999999996</v>
      </c>
      <c r="AC42" s="8">
        <f t="shared" ref="AC42:AC45" si="1">AA42+AB42</f>
        <v>6617.3606666666656</v>
      </c>
    </row>
    <row r="43" spans="2:29" ht="15" customHeight="1" x14ac:dyDescent="0.2">
      <c r="B43" s="758"/>
      <c r="D43" s="858"/>
      <c r="E43" s="39" t="s">
        <v>21</v>
      </c>
      <c r="F43" s="9" t="s">
        <v>75</v>
      </c>
      <c r="G43" s="28" t="s">
        <v>10</v>
      </c>
      <c r="H43" s="45">
        <f>E27</f>
        <v>4</v>
      </c>
      <c r="I43" s="64">
        <f>($J$6+$J$8)*H43</f>
        <v>6600</v>
      </c>
      <c r="J43" s="16">
        <f>((K21*J21)+(K22*J22)+(K19*J19)+(K20*J20))*H43</f>
        <v>871.44</v>
      </c>
      <c r="K43" s="8">
        <f>I43+J43</f>
        <v>7471.4400000000005</v>
      </c>
      <c r="M43" s="858"/>
      <c r="N43" s="39" t="s">
        <v>21</v>
      </c>
      <c r="O43" s="9" t="s">
        <v>115</v>
      </c>
      <c r="P43" s="28" t="s">
        <v>10</v>
      </c>
      <c r="Q43" s="45">
        <f>E27</f>
        <v>4</v>
      </c>
      <c r="R43" s="66">
        <f>($K$6+$K$8)*Q43</f>
        <v>6600</v>
      </c>
      <c r="S43" s="16">
        <f>((K21*J21)+(K22*J22)+(K19*J19)+(K20*J20))*Q43</f>
        <v>871.44</v>
      </c>
      <c r="T43" s="8">
        <f t="shared" si="0"/>
        <v>7471.4400000000005</v>
      </c>
      <c r="U43" s="787"/>
      <c r="V43" s="858"/>
      <c r="W43" s="39" t="s">
        <v>21</v>
      </c>
      <c r="X43" s="9" t="s">
        <v>116</v>
      </c>
      <c r="Y43" s="28" t="s">
        <v>10</v>
      </c>
      <c r="Z43" s="45">
        <f>E27</f>
        <v>4</v>
      </c>
      <c r="AA43" s="64">
        <f>($L$6+$L$8)*Z43</f>
        <v>5391.6666666666661</v>
      </c>
      <c r="AB43" s="16">
        <f>($K$19+$K$20)*Z43</f>
        <v>362.56</v>
      </c>
      <c r="AC43" s="8">
        <f t="shared" si="1"/>
        <v>5754.2266666666665</v>
      </c>
    </row>
    <row r="44" spans="2:29" ht="15" customHeight="1" x14ac:dyDescent="0.2">
      <c r="B44" s="758"/>
      <c r="D44" s="858"/>
      <c r="E44" s="39" t="s">
        <v>45</v>
      </c>
      <c r="F44" s="9" t="s">
        <v>75</v>
      </c>
      <c r="G44" s="41" t="s">
        <v>8</v>
      </c>
      <c r="H44" s="45">
        <f>H42</f>
        <v>0.94444444444444442</v>
      </c>
      <c r="I44" s="64">
        <f>($J$6+$J$8)*H44</f>
        <v>1558.3333333333333</v>
      </c>
      <c r="J44" s="16">
        <f>((K21*J21)+(K22*J22)+(K19*J19)+(K20*J20))*H44</f>
        <v>205.75666666666666</v>
      </c>
      <c r="K44" s="8">
        <f>I44+J44</f>
        <v>1764.09</v>
      </c>
      <c r="M44" s="858"/>
      <c r="N44" s="39" t="s">
        <v>158</v>
      </c>
      <c r="O44" s="9" t="s">
        <v>115</v>
      </c>
      <c r="P44" s="41" t="s">
        <v>8</v>
      </c>
      <c r="Q44" s="45">
        <f>Q42</f>
        <v>2.6666666666666665</v>
      </c>
      <c r="R44" s="66">
        <f>($K$6+$K$8)*Q44</f>
        <v>4400</v>
      </c>
      <c r="S44" s="16">
        <f>((K21*J21)+(K22*J22)+(K19*J19)+(K20*J20))*Q44</f>
        <v>580.96</v>
      </c>
      <c r="T44" s="8">
        <f t="shared" si="0"/>
        <v>4980.96</v>
      </c>
      <c r="U44" s="787"/>
      <c r="V44" s="858"/>
      <c r="W44" s="39" t="s">
        <v>59</v>
      </c>
      <c r="X44" s="9" t="s">
        <v>116</v>
      </c>
      <c r="Y44" s="41" t="s">
        <v>8</v>
      </c>
      <c r="Z44" s="45">
        <f>Z42</f>
        <v>4.5999999999999996</v>
      </c>
      <c r="AA44" s="64">
        <f>($L$6+$L$8)*Z44</f>
        <v>6200.4166666666652</v>
      </c>
      <c r="AB44" s="16">
        <f>($K$19+$K$20)*Z44</f>
        <v>416.94399999999996</v>
      </c>
      <c r="AC44" s="8">
        <f t="shared" si="1"/>
        <v>6617.3606666666656</v>
      </c>
    </row>
    <row r="45" spans="2:29" ht="15" customHeight="1" x14ac:dyDescent="0.2">
      <c r="B45" s="758"/>
      <c r="D45" s="858"/>
      <c r="E45" s="39" t="s">
        <v>44</v>
      </c>
      <c r="F45" s="9" t="s">
        <v>75</v>
      </c>
      <c r="G45" s="27" t="s">
        <v>46</v>
      </c>
      <c r="H45" s="46">
        <f>H41</f>
        <v>0.77777777777777779</v>
      </c>
      <c r="I45" s="64">
        <f>($J$6+$J$8)*H45</f>
        <v>1283.3333333333333</v>
      </c>
      <c r="J45" s="16">
        <f>((K21*J21)+(K22*J22))*H45</f>
        <v>63.7</v>
      </c>
      <c r="K45" s="8">
        <f>I45+J45</f>
        <v>1347.0333333333333</v>
      </c>
      <c r="M45" s="858"/>
      <c r="N45" s="39" t="s">
        <v>57</v>
      </c>
      <c r="O45" s="9" t="s">
        <v>115</v>
      </c>
      <c r="P45" s="27" t="s">
        <v>46</v>
      </c>
      <c r="Q45" s="46">
        <f>Q41</f>
        <v>0.77777777777777779</v>
      </c>
      <c r="R45" s="66">
        <f>($K$6+$K$8)*Q45</f>
        <v>1283.3333333333333</v>
      </c>
      <c r="S45" s="16">
        <f>((K21*J21)+(K22*J22))*Q45</f>
        <v>63.7</v>
      </c>
      <c r="T45" s="8">
        <f t="shared" si="0"/>
        <v>1347.0333333333333</v>
      </c>
      <c r="U45" s="787"/>
      <c r="V45" s="858"/>
      <c r="W45" s="39" t="s">
        <v>61</v>
      </c>
      <c r="X45" s="9" t="s">
        <v>116</v>
      </c>
      <c r="Y45" s="27" t="s">
        <v>46</v>
      </c>
      <c r="Z45" s="46">
        <f>Z41</f>
        <v>0</v>
      </c>
      <c r="AA45" s="64">
        <f>($L$6+$L$8)*Z45</f>
        <v>0</v>
      </c>
      <c r="AB45" s="16">
        <f>($K$19+$K$20)*Z45</f>
        <v>0</v>
      </c>
      <c r="AC45" s="8">
        <f t="shared" si="1"/>
        <v>0</v>
      </c>
    </row>
    <row r="46" spans="2:29" x14ac:dyDescent="0.2">
      <c r="B46" s="758"/>
      <c r="D46" s="858"/>
      <c r="E46" s="39" t="s">
        <v>13</v>
      </c>
      <c r="F46" s="9" t="s">
        <v>75</v>
      </c>
      <c r="G46" s="27" t="s">
        <v>12</v>
      </c>
      <c r="H46" s="11" t="s">
        <v>9</v>
      </c>
      <c r="I46" s="9" t="s">
        <v>9</v>
      </c>
      <c r="J46" s="16" t="s">
        <v>9</v>
      </c>
      <c r="K46" s="7">
        <f>SUM(K41:K45)*$E$31</f>
        <v>1369.3686666666667</v>
      </c>
      <c r="M46" s="858"/>
      <c r="N46" s="39" t="s">
        <v>13</v>
      </c>
      <c r="O46" s="9" t="s">
        <v>115</v>
      </c>
      <c r="P46" s="27" t="s">
        <v>12</v>
      </c>
      <c r="Q46" s="11" t="s">
        <v>9</v>
      </c>
      <c r="R46" s="9" t="s">
        <v>9</v>
      </c>
      <c r="S46" s="16" t="s">
        <v>9</v>
      </c>
      <c r="T46" s="7">
        <f>SUM(T41:T45)*$E$31</f>
        <v>2012.7426666666668</v>
      </c>
      <c r="U46" s="787"/>
      <c r="V46" s="858"/>
      <c r="W46" s="39" t="s">
        <v>13</v>
      </c>
      <c r="X46" s="9" t="s">
        <v>116</v>
      </c>
      <c r="Y46" s="27" t="s">
        <v>12</v>
      </c>
      <c r="Z46" s="11" t="s">
        <v>9</v>
      </c>
      <c r="AA46" s="9" t="s">
        <v>9</v>
      </c>
      <c r="AB46" s="16" t="s">
        <v>9</v>
      </c>
      <c r="AC46" s="7">
        <f>SUM(AC41:AC45)*$E$31</f>
        <v>1898.8947999999998</v>
      </c>
    </row>
    <row r="47" spans="2:29" ht="16" customHeight="1" thickBot="1" x14ac:dyDescent="0.25">
      <c r="B47" s="758"/>
      <c r="D47" s="859"/>
      <c r="E47" s="42"/>
      <c r="F47" s="42"/>
      <c r="G47" s="29"/>
      <c r="H47" s="29"/>
      <c r="I47" s="901" t="s">
        <v>159</v>
      </c>
      <c r="J47" s="901"/>
      <c r="K47" s="37">
        <f>SUM(K41:K46)</f>
        <v>15063.055333333334</v>
      </c>
      <c r="L47" s="4"/>
      <c r="M47" s="859"/>
      <c r="N47" s="42"/>
      <c r="O47" s="42"/>
      <c r="P47" s="29"/>
      <c r="Q47" s="29"/>
      <c r="R47" s="29"/>
      <c r="S47" s="43" t="s">
        <v>159</v>
      </c>
      <c r="T47" s="37">
        <f>SUM(T41:T46)</f>
        <v>22140.169333333331</v>
      </c>
      <c r="U47" s="787"/>
      <c r="V47" s="859"/>
      <c r="W47" s="42"/>
      <c r="X47" s="42"/>
      <c r="Y47" s="29"/>
      <c r="Z47" s="29"/>
      <c r="AA47" s="29"/>
      <c r="AB47" s="43" t="s">
        <v>159</v>
      </c>
      <c r="AC47" s="37">
        <f>SUM(AC41:AC46)</f>
        <v>20887.842799999995</v>
      </c>
    </row>
    <row r="48" spans="2:29" ht="16" customHeight="1" thickBot="1" x14ac:dyDescent="0.25">
      <c r="B48" s="758"/>
      <c r="D48" s="68"/>
      <c r="E48" s="69"/>
      <c r="F48" s="69"/>
      <c r="G48" s="21"/>
      <c r="H48" s="21"/>
      <c r="I48" s="70"/>
      <c r="J48" s="70"/>
      <c r="K48" s="13"/>
      <c r="L48" s="4"/>
      <c r="M48" s="68"/>
      <c r="N48" s="69"/>
      <c r="O48" s="69"/>
      <c r="P48" s="21"/>
      <c r="Q48" s="21"/>
      <c r="R48" s="21"/>
      <c r="S48" s="70"/>
      <c r="T48" s="13"/>
      <c r="U48" s="787"/>
      <c r="V48" s="68"/>
      <c r="W48" s="69"/>
      <c r="X48" s="69"/>
      <c r="Y48" s="21"/>
      <c r="Z48" s="21"/>
      <c r="AA48" s="21"/>
      <c r="AB48" s="70"/>
      <c r="AC48" s="13"/>
    </row>
    <row r="49" spans="2:29" ht="15" customHeight="1" x14ac:dyDescent="0.2">
      <c r="B49" s="758"/>
      <c r="D49" s="860" t="s">
        <v>144</v>
      </c>
      <c r="E49" s="72" t="s">
        <v>4</v>
      </c>
      <c r="F49" s="72" t="s">
        <v>35</v>
      </c>
      <c r="G49" s="75" t="s">
        <v>5</v>
      </c>
      <c r="H49" s="72" t="s">
        <v>77</v>
      </c>
      <c r="I49" s="72" t="s">
        <v>31</v>
      </c>
      <c r="J49" s="72" t="s">
        <v>29</v>
      </c>
      <c r="K49" s="76" t="s">
        <v>32</v>
      </c>
      <c r="L49" s="5"/>
      <c r="M49" s="860" t="s">
        <v>144</v>
      </c>
      <c r="N49" s="72" t="s">
        <v>4</v>
      </c>
      <c r="O49" s="72" t="s">
        <v>35</v>
      </c>
      <c r="P49" s="75" t="s">
        <v>5</v>
      </c>
      <c r="Q49" s="72" t="s">
        <v>6</v>
      </c>
      <c r="R49" s="72" t="s">
        <v>31</v>
      </c>
      <c r="S49" s="75" t="s">
        <v>29</v>
      </c>
      <c r="T49" s="76" t="s">
        <v>32</v>
      </c>
      <c r="U49" s="787"/>
      <c r="V49" s="860" t="s">
        <v>144</v>
      </c>
      <c r="W49" s="78" t="s">
        <v>4</v>
      </c>
      <c r="X49" s="72" t="s">
        <v>35</v>
      </c>
      <c r="Y49" s="75" t="s">
        <v>5</v>
      </c>
      <c r="Z49" s="72" t="s">
        <v>77</v>
      </c>
      <c r="AA49" s="72" t="s">
        <v>31</v>
      </c>
      <c r="AB49" s="75" t="s">
        <v>29</v>
      </c>
      <c r="AC49" s="76" t="s">
        <v>32</v>
      </c>
    </row>
    <row r="50" spans="2:29" x14ac:dyDescent="0.2">
      <c r="B50" s="758"/>
      <c r="D50" s="861"/>
      <c r="E50" s="39" t="s">
        <v>43</v>
      </c>
      <c r="F50" s="9" t="s">
        <v>75</v>
      </c>
      <c r="G50" s="27" t="s">
        <v>46</v>
      </c>
      <c r="H50" s="3">
        <f>H41</f>
        <v>0.77777777777777779</v>
      </c>
      <c r="I50" s="64">
        <f>($J$6+$J$8)*H50</f>
        <v>1283.3333333333333</v>
      </c>
      <c r="J50" s="16">
        <f>((K21*J21)+(K22*J22))*H50</f>
        <v>63.7</v>
      </c>
      <c r="K50" s="7">
        <f>I50+J50</f>
        <v>1347.0333333333333</v>
      </c>
      <c r="L50" s="18"/>
      <c r="M50" s="861"/>
      <c r="N50" s="39" t="s">
        <v>54</v>
      </c>
      <c r="O50" s="9" t="s">
        <v>115</v>
      </c>
      <c r="P50" s="27" t="s">
        <v>46</v>
      </c>
      <c r="Q50" s="3">
        <f>(F9/$K$5)</f>
        <v>0.77777777777777779</v>
      </c>
      <c r="R50" s="64">
        <f>($K$6+$K$8)*Q50</f>
        <v>1283.3333333333333</v>
      </c>
      <c r="S50" s="16">
        <f>((K21*J21)+(K22*J22))*Q50</f>
        <v>63.7</v>
      </c>
      <c r="T50" s="7">
        <f>R50+S50</f>
        <v>1347.0333333333333</v>
      </c>
      <c r="U50" s="787"/>
      <c r="V50" s="861"/>
      <c r="W50" s="39" t="s">
        <v>60</v>
      </c>
      <c r="X50" s="9" t="s">
        <v>116</v>
      </c>
      <c r="Y50" s="27" t="s">
        <v>46</v>
      </c>
      <c r="Z50" s="3">
        <f>G9/L5</f>
        <v>0</v>
      </c>
      <c r="AA50" s="64">
        <f>($L$6+$L$8)*Z50</f>
        <v>0</v>
      </c>
      <c r="AB50" s="16">
        <f>((K25*J25)+(K26*J26))*Z50</f>
        <v>0</v>
      </c>
      <c r="AC50" s="7">
        <f>AA50+AB50</f>
        <v>0</v>
      </c>
    </row>
    <row r="51" spans="2:29" x14ac:dyDescent="0.2">
      <c r="B51" s="758"/>
      <c r="D51" s="861"/>
      <c r="E51" s="39" t="s">
        <v>42</v>
      </c>
      <c r="F51" s="9" t="s">
        <v>75</v>
      </c>
      <c r="G51" s="28" t="s">
        <v>8</v>
      </c>
      <c r="H51" s="45">
        <f>H42</f>
        <v>0.94444444444444442</v>
      </c>
      <c r="I51" s="64">
        <f>($J$6+$J$8)*H51</f>
        <v>1558.3333333333333</v>
      </c>
      <c r="J51" s="16">
        <f>((K21*J21)+(K22*J22)+(K19*J19)+(K20*J20))*H51</f>
        <v>205.75666666666666</v>
      </c>
      <c r="K51" s="7">
        <f t="shared" ref="K51:K57" si="2">I51+J51</f>
        <v>1764.09</v>
      </c>
      <c r="L51" s="18"/>
      <c r="M51" s="861"/>
      <c r="N51" s="39" t="s">
        <v>157</v>
      </c>
      <c r="O51" s="9" t="s">
        <v>115</v>
      </c>
      <c r="P51" s="28" t="s">
        <v>8</v>
      </c>
      <c r="Q51" s="45">
        <f>(F13/$K$5)</f>
        <v>2.6666666666666665</v>
      </c>
      <c r="R51" s="64">
        <f>($K$6+$K$8)*Q51</f>
        <v>4400</v>
      </c>
      <c r="S51" s="16">
        <f>((K21*J21)+(K22*J22)+(K19*J19)+(K20*J20))*Q51</f>
        <v>580.96</v>
      </c>
      <c r="T51" s="7">
        <f t="shared" ref="T51:T58" si="3">R51+S51</f>
        <v>4980.96</v>
      </c>
      <c r="U51" s="38"/>
      <c r="V51" s="861"/>
      <c r="W51" s="39" t="s">
        <v>58</v>
      </c>
      <c r="X51" s="9" t="s">
        <v>116</v>
      </c>
      <c r="Y51" s="28" t="s">
        <v>8</v>
      </c>
      <c r="Z51" s="45">
        <f>(G13/$K$5)</f>
        <v>2.5555555555555554</v>
      </c>
      <c r="AA51" s="64">
        <f>($L$6+$L$8)*Z51</f>
        <v>3444.6759259259252</v>
      </c>
      <c r="AB51" s="16">
        <f>((K25*J25)+(K26*J26)+(K23*J23)+(K24*J24))*Z51</f>
        <v>555.57777777777767</v>
      </c>
      <c r="AC51" s="7">
        <f t="shared" ref="AC51:AC58" si="4">AA51+AB51</f>
        <v>4000.2537037037027</v>
      </c>
    </row>
    <row r="52" spans="2:29" x14ac:dyDescent="0.2">
      <c r="B52" s="758"/>
      <c r="D52" s="861"/>
      <c r="E52" s="39" t="s">
        <v>67</v>
      </c>
      <c r="F52" s="9" t="s">
        <v>75</v>
      </c>
      <c r="G52" s="28" t="s">
        <v>10</v>
      </c>
      <c r="H52" s="45">
        <f>E28</f>
        <v>2</v>
      </c>
      <c r="I52" s="64">
        <f>($J$6+$J$8)*H52</f>
        <v>3300</v>
      </c>
      <c r="J52" s="16">
        <f>((K21*J21)+(K22*J22)+(K19*J19)+(K20*J20))*H52</f>
        <v>435.72</v>
      </c>
      <c r="K52" s="7">
        <f t="shared" si="2"/>
        <v>3735.7200000000003</v>
      </c>
      <c r="L52" s="18"/>
      <c r="M52" s="861"/>
      <c r="N52" s="39" t="s">
        <v>67</v>
      </c>
      <c r="O52" s="9" t="s">
        <v>115</v>
      </c>
      <c r="P52" s="28" t="s">
        <v>10</v>
      </c>
      <c r="Q52" s="45">
        <f>E28</f>
        <v>2</v>
      </c>
      <c r="R52" s="64">
        <f>($K$6+$K$8)*Q52</f>
        <v>3300</v>
      </c>
      <c r="S52" s="16">
        <f>((K21*J21)+(K22*J22)+(K19*J19)+(K20*J20))*Q52</f>
        <v>435.72</v>
      </c>
      <c r="T52" s="7">
        <f t="shared" si="3"/>
        <v>3735.7200000000003</v>
      </c>
      <c r="U52" s="38"/>
      <c r="V52" s="861"/>
      <c r="W52" s="39" t="s">
        <v>67</v>
      </c>
      <c r="X52" s="9" t="s">
        <v>116</v>
      </c>
      <c r="Y52" s="28" t="s">
        <v>10</v>
      </c>
      <c r="Z52" s="45">
        <f>E28</f>
        <v>2</v>
      </c>
      <c r="AA52" s="64">
        <f>($L$6+$L$8)*Z52</f>
        <v>2695.833333333333</v>
      </c>
      <c r="AB52" s="16">
        <f>((K25*J25)+(K26*J26)+(K23*J23)+(K24*J24))*Z52</f>
        <v>434.79999999999995</v>
      </c>
      <c r="AC52" s="7">
        <f t="shared" si="4"/>
        <v>3130.6333333333332</v>
      </c>
    </row>
    <row r="53" spans="2:29" x14ac:dyDescent="0.2">
      <c r="B53" s="758"/>
      <c r="D53" s="861"/>
      <c r="E53" s="39" t="s">
        <v>45</v>
      </c>
      <c r="F53" s="9" t="s">
        <v>75</v>
      </c>
      <c r="G53" s="28" t="s">
        <v>8</v>
      </c>
      <c r="H53" s="45">
        <f>H51</f>
        <v>0.94444444444444442</v>
      </c>
      <c r="I53" s="64">
        <f>($J$6+$J$8)*H53</f>
        <v>1558.3333333333333</v>
      </c>
      <c r="J53" s="16">
        <f>((K21*J21)+(K22*J22)+(K19*J19)+(K20*J20))*H53</f>
        <v>205.75666666666666</v>
      </c>
      <c r="K53" s="7">
        <f>I53+J53</f>
        <v>1764.09</v>
      </c>
      <c r="L53" s="18"/>
      <c r="M53" s="861"/>
      <c r="N53" s="39" t="s">
        <v>158</v>
      </c>
      <c r="O53" s="9" t="s">
        <v>115</v>
      </c>
      <c r="P53" s="28" t="s">
        <v>8</v>
      </c>
      <c r="Q53" s="45">
        <f>Q51</f>
        <v>2.6666666666666665</v>
      </c>
      <c r="R53" s="64">
        <f>($K$6+$K$8)*Q53</f>
        <v>4400</v>
      </c>
      <c r="S53" s="16">
        <f>((K21*J21)+(K22*J22)+(K19*J19)+(K20*J20))*Q53</f>
        <v>580.96</v>
      </c>
      <c r="T53" s="7">
        <f t="shared" si="3"/>
        <v>4980.96</v>
      </c>
      <c r="U53" s="38"/>
      <c r="V53" s="861"/>
      <c r="W53" s="39" t="s">
        <v>70</v>
      </c>
      <c r="X53" s="9" t="s">
        <v>116</v>
      </c>
      <c r="Y53" s="28" t="s">
        <v>8</v>
      </c>
      <c r="Z53" s="45">
        <f>Z51</f>
        <v>2.5555555555555554</v>
      </c>
      <c r="AA53" s="64">
        <f>($L$6+$L$8)*Z53</f>
        <v>3444.6759259259252</v>
      </c>
      <c r="AB53" s="16">
        <f>((K25*J25)+(K26*J26)+(K23*J23)+(K24*J24))*Z53</f>
        <v>555.57777777777767</v>
      </c>
      <c r="AC53" s="7">
        <f t="shared" si="4"/>
        <v>4000.2537037037027</v>
      </c>
    </row>
    <row r="54" spans="2:29" x14ac:dyDescent="0.2">
      <c r="B54" s="758"/>
      <c r="D54" s="861"/>
      <c r="E54" s="39" t="s">
        <v>68</v>
      </c>
      <c r="F54" s="9" t="s">
        <v>75</v>
      </c>
      <c r="G54" s="28" t="s">
        <v>12</v>
      </c>
      <c r="H54" s="45">
        <f>E29</f>
        <v>16</v>
      </c>
      <c r="I54" s="64">
        <v>0</v>
      </c>
      <c r="J54" s="16">
        <f>(($K$19*J19)+($K$20*J20))*H54</f>
        <v>2175.36</v>
      </c>
      <c r="K54" s="7">
        <f>I54+J54</f>
        <v>2175.36</v>
      </c>
      <c r="L54" s="18"/>
      <c r="M54" s="861"/>
      <c r="N54" s="39" t="s">
        <v>68</v>
      </c>
      <c r="O54" s="9" t="s">
        <v>115</v>
      </c>
      <c r="P54" s="28" t="s">
        <v>12</v>
      </c>
      <c r="Q54" s="45">
        <f>E29</f>
        <v>16</v>
      </c>
      <c r="R54" s="64">
        <v>0</v>
      </c>
      <c r="S54" s="16">
        <f>(($K$19*J19)+($K$20*J20))*Q54</f>
        <v>2175.36</v>
      </c>
      <c r="T54" s="7">
        <f t="shared" si="3"/>
        <v>2175.36</v>
      </c>
      <c r="U54" s="38"/>
      <c r="V54" s="861"/>
      <c r="W54" s="39" t="s">
        <v>68</v>
      </c>
      <c r="X54" s="9" t="s">
        <v>116</v>
      </c>
      <c r="Y54" s="28" t="s">
        <v>12</v>
      </c>
      <c r="Z54" s="45">
        <f>E29</f>
        <v>16</v>
      </c>
      <c r="AA54" s="64">
        <v>0</v>
      </c>
      <c r="AB54" s="16">
        <f>(($K$23*J23)+($K$24*J24))*Z54</f>
        <v>2218.56</v>
      </c>
      <c r="AC54" s="7">
        <f t="shared" si="4"/>
        <v>2218.56</v>
      </c>
    </row>
    <row r="55" spans="2:29" x14ac:dyDescent="0.2">
      <c r="B55" s="758"/>
      <c r="D55" s="861"/>
      <c r="E55" s="39" t="s">
        <v>42</v>
      </c>
      <c r="F55" s="9" t="s">
        <v>75</v>
      </c>
      <c r="G55" s="28" t="s">
        <v>8</v>
      </c>
      <c r="H55" s="45">
        <f>H51</f>
        <v>0.94444444444444442</v>
      </c>
      <c r="I55" s="64">
        <f>($J$6+$J$8)*H55</f>
        <v>1558.3333333333333</v>
      </c>
      <c r="J55" s="16">
        <f>((K21*J21)+(K22*J22)+(K19*J19)+(K20*J20))*H55</f>
        <v>205.75666666666666</v>
      </c>
      <c r="K55" s="7">
        <f>I55+J55</f>
        <v>1764.09</v>
      </c>
      <c r="L55" s="18"/>
      <c r="M55" s="861"/>
      <c r="N55" s="39" t="s">
        <v>157</v>
      </c>
      <c r="O55" s="9" t="s">
        <v>115</v>
      </c>
      <c r="P55" s="28" t="s">
        <v>8</v>
      </c>
      <c r="Q55" s="45">
        <f>Q51</f>
        <v>2.6666666666666665</v>
      </c>
      <c r="R55" s="64">
        <f>($K$6+$K$8)*Q55</f>
        <v>4400</v>
      </c>
      <c r="S55" s="16">
        <f>((K21*J21)+(K22*J22)+(K19*J19)+(K20*J20))*Q55</f>
        <v>580.96</v>
      </c>
      <c r="T55" s="7">
        <f>R55+S55</f>
        <v>4980.96</v>
      </c>
      <c r="U55" s="38"/>
      <c r="V55" s="861"/>
      <c r="W55" s="39" t="s">
        <v>58</v>
      </c>
      <c r="X55" s="9" t="s">
        <v>116</v>
      </c>
      <c r="Y55" s="28" t="s">
        <v>8</v>
      </c>
      <c r="Z55" s="45">
        <f>Z51</f>
        <v>2.5555555555555554</v>
      </c>
      <c r="AA55" s="64">
        <f>($L$6+$L$8)*Z55</f>
        <v>3444.6759259259252</v>
      </c>
      <c r="AB55" s="16">
        <f>((K25*J25)+(K26*J26)+(K23*J23)+(K24*J24))*Z55</f>
        <v>555.57777777777767</v>
      </c>
      <c r="AC55" s="7">
        <f t="shared" si="4"/>
        <v>4000.2537037037027</v>
      </c>
    </row>
    <row r="56" spans="2:29" x14ac:dyDescent="0.2">
      <c r="B56" s="758"/>
      <c r="D56" s="861"/>
      <c r="E56" s="39" t="s">
        <v>69</v>
      </c>
      <c r="F56" s="9" t="s">
        <v>75</v>
      </c>
      <c r="G56" s="28" t="s">
        <v>10</v>
      </c>
      <c r="H56" s="45">
        <f>E30</f>
        <v>2</v>
      </c>
      <c r="I56" s="64">
        <f>($J$6+$J$8)*H56</f>
        <v>3300</v>
      </c>
      <c r="J56" s="16">
        <f>((K21*J21)+(K22*J22)+(K19*J19)+(K20*J20))*H56</f>
        <v>435.72</v>
      </c>
      <c r="K56" s="7">
        <f t="shared" si="2"/>
        <v>3735.7200000000003</v>
      </c>
      <c r="L56" s="18"/>
      <c r="M56" s="861"/>
      <c r="N56" s="39" t="s">
        <v>69</v>
      </c>
      <c r="O56" s="9" t="s">
        <v>115</v>
      </c>
      <c r="P56" s="28" t="s">
        <v>10</v>
      </c>
      <c r="Q56" s="45">
        <f>E30</f>
        <v>2</v>
      </c>
      <c r="R56" s="64">
        <f>($K$6+$K$8)*Q56</f>
        <v>3300</v>
      </c>
      <c r="S56" s="16">
        <f>((K21*J21)+(K22*J22)+(K19*J19)+(K20*J20))*Q56</f>
        <v>435.72</v>
      </c>
      <c r="T56" s="7">
        <f t="shared" si="3"/>
        <v>3735.7200000000003</v>
      </c>
      <c r="U56" s="38"/>
      <c r="V56" s="861"/>
      <c r="W56" s="39" t="s">
        <v>69</v>
      </c>
      <c r="X56" s="9" t="s">
        <v>116</v>
      </c>
      <c r="Y56" s="28" t="s">
        <v>10</v>
      </c>
      <c r="Z56" s="45">
        <f>E30</f>
        <v>2</v>
      </c>
      <c r="AA56" s="64">
        <f>($L$6+$L$8)*Z56</f>
        <v>2695.833333333333</v>
      </c>
      <c r="AB56" s="16">
        <f>((K25*J25)+(K26*J26)+(K23*J23)+(K24*J24))*Z56</f>
        <v>434.79999999999995</v>
      </c>
      <c r="AC56" s="7">
        <f t="shared" si="4"/>
        <v>3130.6333333333332</v>
      </c>
    </row>
    <row r="57" spans="2:29" x14ac:dyDescent="0.2">
      <c r="B57" s="758"/>
      <c r="D57" s="861"/>
      <c r="E57" s="39" t="s">
        <v>45</v>
      </c>
      <c r="F57" s="9" t="s">
        <v>75</v>
      </c>
      <c r="G57" s="28" t="s">
        <v>8</v>
      </c>
      <c r="H57" s="45">
        <f>H51</f>
        <v>0.94444444444444442</v>
      </c>
      <c r="I57" s="64">
        <f>($J$6+$J$8)*H57</f>
        <v>1558.3333333333333</v>
      </c>
      <c r="J57" s="16">
        <f>((K21*J21)+(K22*J22)+(K19*J19)+(K20*J20))*H57</f>
        <v>205.75666666666666</v>
      </c>
      <c r="K57" s="7">
        <f t="shared" si="2"/>
        <v>1764.09</v>
      </c>
      <c r="L57" s="18"/>
      <c r="M57" s="861"/>
      <c r="N57" s="39" t="s">
        <v>158</v>
      </c>
      <c r="O57" s="9" t="s">
        <v>115</v>
      </c>
      <c r="P57" s="28" t="s">
        <v>8</v>
      </c>
      <c r="Q57" s="45">
        <f>Q51</f>
        <v>2.6666666666666665</v>
      </c>
      <c r="R57" s="64">
        <f>($K$6+$K$8)*Q57</f>
        <v>4400</v>
      </c>
      <c r="S57" s="16">
        <f>((K21*J21)+(K22*J22)+(K19*J19)+(K20*J20))*Q57</f>
        <v>580.96</v>
      </c>
      <c r="T57" s="7">
        <f t="shared" si="3"/>
        <v>4980.96</v>
      </c>
      <c r="U57" s="38"/>
      <c r="V57" s="861"/>
      <c r="W57" s="39" t="s">
        <v>70</v>
      </c>
      <c r="X57" s="9" t="s">
        <v>116</v>
      </c>
      <c r="Y57" s="28" t="s">
        <v>8</v>
      </c>
      <c r="Z57" s="45">
        <f>Z51</f>
        <v>2.5555555555555554</v>
      </c>
      <c r="AA57" s="64">
        <f>($L$6+$L$8)*Z57</f>
        <v>3444.6759259259252</v>
      </c>
      <c r="AB57" s="16">
        <f>($K$19+$K$20)*Z57</f>
        <v>231.63555555555553</v>
      </c>
      <c r="AC57" s="7">
        <f t="shared" si="4"/>
        <v>3676.3114814814808</v>
      </c>
    </row>
    <row r="58" spans="2:29" ht="15" customHeight="1" x14ac:dyDescent="0.2">
      <c r="B58" s="758"/>
      <c r="D58" s="861"/>
      <c r="E58" s="39" t="s">
        <v>44</v>
      </c>
      <c r="F58" s="9" t="s">
        <v>75</v>
      </c>
      <c r="G58" s="28" t="s">
        <v>46</v>
      </c>
      <c r="H58" s="45">
        <f>H50</f>
        <v>0.77777777777777779</v>
      </c>
      <c r="I58" s="64">
        <f>($J$6+$J$8)*H58</f>
        <v>1283.3333333333333</v>
      </c>
      <c r="J58" s="16">
        <f>((K21*J21)+(K22*J22))*H58</f>
        <v>63.7</v>
      </c>
      <c r="K58" s="7">
        <f>I58+J58</f>
        <v>1347.0333333333333</v>
      </c>
      <c r="L58" s="18"/>
      <c r="M58" s="861"/>
      <c r="N58" s="39" t="s">
        <v>57</v>
      </c>
      <c r="O58" s="9" t="s">
        <v>115</v>
      </c>
      <c r="P58" s="28" t="s">
        <v>46</v>
      </c>
      <c r="Q58" s="45">
        <f>Q50</f>
        <v>0.77777777777777779</v>
      </c>
      <c r="R58" s="64">
        <f>($K$6+$K$8)*Q58</f>
        <v>1283.3333333333333</v>
      </c>
      <c r="S58" s="16">
        <f>((K21*J21)+(K22*J22))*Q58</f>
        <v>63.7</v>
      </c>
      <c r="T58" s="7">
        <f t="shared" si="3"/>
        <v>1347.0333333333333</v>
      </c>
      <c r="U58" s="38"/>
      <c r="V58" s="861"/>
      <c r="W58" s="39" t="s">
        <v>61</v>
      </c>
      <c r="X58" s="9" t="s">
        <v>116</v>
      </c>
      <c r="Y58" s="28" t="s">
        <v>46</v>
      </c>
      <c r="Z58" s="45">
        <f>Z50</f>
        <v>0</v>
      </c>
      <c r="AA58" s="64">
        <f>($L$6+$L$8)*Z58</f>
        <v>0</v>
      </c>
      <c r="AB58" s="16">
        <f>((K25*J25)+(K26*J26)+(K23*J23)+(K24*J24))*Z58</f>
        <v>0</v>
      </c>
      <c r="AC58" s="7">
        <f t="shared" si="4"/>
        <v>0</v>
      </c>
    </row>
    <row r="59" spans="2:29" ht="15" customHeight="1" x14ac:dyDescent="0.2">
      <c r="B59" s="758"/>
      <c r="D59" s="861"/>
      <c r="E59" s="39" t="s">
        <v>13</v>
      </c>
      <c r="F59" s="9" t="s">
        <v>75</v>
      </c>
      <c r="G59" s="27" t="s">
        <v>12</v>
      </c>
      <c r="H59" s="11" t="s">
        <v>9</v>
      </c>
      <c r="I59" s="9" t="s">
        <v>9</v>
      </c>
      <c r="J59" s="16" t="s">
        <v>9</v>
      </c>
      <c r="K59" s="7">
        <f>SUM(K50:K58)*$E$31</f>
        <v>1939.7226666666666</v>
      </c>
      <c r="L59" s="18"/>
      <c r="M59" s="861"/>
      <c r="N59" s="39" t="s">
        <v>13</v>
      </c>
      <c r="O59" s="9" t="s">
        <v>115</v>
      </c>
      <c r="P59" s="27" t="s">
        <v>12</v>
      </c>
      <c r="Q59" s="11" t="s">
        <v>9</v>
      </c>
      <c r="R59" s="9" t="s">
        <v>9</v>
      </c>
      <c r="S59" s="16" t="s">
        <v>9</v>
      </c>
      <c r="T59" s="7">
        <f>SUM(T50:T58)*$E$31</f>
        <v>3226.4706666666666</v>
      </c>
      <c r="U59" s="38"/>
      <c r="V59" s="861"/>
      <c r="W59" s="39" t="s">
        <v>13</v>
      </c>
      <c r="X59" s="9" t="s">
        <v>116</v>
      </c>
      <c r="Y59" s="27" t="s">
        <v>12</v>
      </c>
      <c r="Z59" s="11" t="s">
        <v>9</v>
      </c>
      <c r="AA59" s="9" t="s">
        <v>9</v>
      </c>
      <c r="AB59" s="16" t="s">
        <v>9</v>
      </c>
      <c r="AC59" s="7">
        <f>SUM(AC50:AC58)*$E$31</f>
        <v>2415.6899259259253</v>
      </c>
    </row>
    <row r="60" spans="2:29" ht="16" thickBot="1" x14ac:dyDescent="0.25">
      <c r="B60" s="759"/>
      <c r="D60" s="862"/>
      <c r="E60" s="42"/>
      <c r="F60" s="42"/>
      <c r="G60" s="42"/>
      <c r="H60" s="29"/>
      <c r="I60" s="901" t="s">
        <v>160</v>
      </c>
      <c r="J60" s="901"/>
      <c r="K60" s="37">
        <f>SUM(K50:K59)</f>
        <v>21336.94933333333</v>
      </c>
      <c r="M60" s="862"/>
      <c r="N60" s="42"/>
      <c r="O60" s="42"/>
      <c r="P60" s="42"/>
      <c r="Q60" s="29"/>
      <c r="R60" s="29"/>
      <c r="S60" s="67" t="s">
        <v>160</v>
      </c>
      <c r="T60" s="37">
        <f>SUM(T50:T59)</f>
        <v>35491.177333333333</v>
      </c>
      <c r="U60" s="38"/>
      <c r="V60" s="862"/>
      <c r="W60" s="42"/>
      <c r="X60" s="42"/>
      <c r="Y60" s="42"/>
      <c r="Z60" s="29"/>
      <c r="AA60" s="29"/>
      <c r="AB60" s="43" t="s">
        <v>160</v>
      </c>
      <c r="AC60" s="37">
        <f>SUM(AC50:AC59)</f>
        <v>26572.589185185177</v>
      </c>
    </row>
    <row r="61" spans="2:29" ht="15" customHeight="1" x14ac:dyDescent="0.2">
      <c r="L61" s="13"/>
    </row>
    <row r="62" spans="2:29" x14ac:dyDescent="0.2">
      <c r="L62" s="19"/>
    </row>
    <row r="63" spans="2:29" ht="16" thickBot="1" x14ac:dyDescent="0.25">
      <c r="L63" s="19"/>
    </row>
    <row r="64" spans="2:29" ht="19" x14ac:dyDescent="0.2">
      <c r="B64" s="757" t="s">
        <v>26</v>
      </c>
      <c r="D64" s="852" t="s">
        <v>944</v>
      </c>
      <c r="E64" s="854"/>
      <c r="F64" s="169"/>
      <c r="G64" s="852" t="s">
        <v>1001</v>
      </c>
      <c r="H64" s="854"/>
      <c r="I64" s="169"/>
      <c r="J64" s="844"/>
      <c r="K64" s="844"/>
      <c r="L64" s="19"/>
    </row>
    <row r="65" spans="2:12" ht="24" customHeight="1" thickBot="1" x14ac:dyDescent="0.25">
      <c r="B65" s="758"/>
      <c r="D65" s="834" t="s">
        <v>1026</v>
      </c>
      <c r="E65" s="836"/>
      <c r="F65" s="169"/>
      <c r="G65" s="834" t="s">
        <v>1014</v>
      </c>
      <c r="H65" s="836"/>
      <c r="I65" s="169"/>
      <c r="J65" s="843"/>
      <c r="K65" s="843"/>
      <c r="L65" s="19"/>
    </row>
    <row r="66" spans="2:12" ht="20" x14ac:dyDescent="0.2">
      <c r="B66" s="758"/>
      <c r="D66" s="491" t="s">
        <v>62</v>
      </c>
      <c r="E66" s="492" t="s">
        <v>212</v>
      </c>
      <c r="F66" s="232"/>
      <c r="G66" s="491" t="s">
        <v>62</v>
      </c>
      <c r="H66" s="492" t="s">
        <v>212</v>
      </c>
      <c r="I66" s="232"/>
      <c r="J66" s="187"/>
      <c r="K66" s="187"/>
      <c r="L66" s="19"/>
    </row>
    <row r="67" spans="2:12" ht="37" customHeight="1" x14ac:dyDescent="0.2">
      <c r="B67" s="758"/>
      <c r="D67" s="509" t="s">
        <v>927</v>
      </c>
      <c r="E67" s="196">
        <f>(K47*MAX(J30,J34))+(K60*MAX(J31,J35))</f>
        <v>102926.12</v>
      </c>
      <c r="F67" s="232"/>
      <c r="G67" s="509" t="s">
        <v>927</v>
      </c>
      <c r="H67" s="196">
        <f>E67*E20^-(-LOG(1-$E$26)/LOG(2))*E20</f>
        <v>14052102.23374768</v>
      </c>
      <c r="J67" s="493"/>
      <c r="K67" s="188"/>
      <c r="L67" s="19"/>
    </row>
    <row r="68" spans="2:12" ht="43" customHeight="1" x14ac:dyDescent="0.2">
      <c r="B68" s="758"/>
      <c r="D68" s="489" t="s">
        <v>929</v>
      </c>
      <c r="E68" s="196">
        <f>(T47*MAX(J30,J34))+(T60*MAX(J31,J35))</f>
        <v>159543.03200000001</v>
      </c>
      <c r="F68" s="187"/>
      <c r="G68" s="509" t="s">
        <v>929</v>
      </c>
      <c r="H68" s="196">
        <f>E68*E21^-(-LOG(1-$E$26)/LOG(2))*E21</f>
        <v>10820885.417572131</v>
      </c>
      <c r="J68" s="169"/>
      <c r="K68" s="188"/>
    </row>
    <row r="69" spans="2:12" ht="38" customHeight="1" x14ac:dyDescent="0.2">
      <c r="B69" s="758"/>
      <c r="D69" s="509" t="s">
        <v>930</v>
      </c>
      <c r="E69" s="196">
        <f>(AC47*MAX(J30,J34))+(AC60*MAX(J31,J35))</f>
        <v>136696.54957037035</v>
      </c>
      <c r="G69" s="509" t="s">
        <v>930</v>
      </c>
      <c r="H69" s="196">
        <f>E69*E22^-(-LOG(1-$E$26)/LOG(2))*E22</f>
        <v>13736266.306299871</v>
      </c>
      <c r="J69" s="493"/>
      <c r="K69" s="188"/>
    </row>
    <row r="70" spans="2:12" ht="20" x14ac:dyDescent="0.2">
      <c r="B70" s="758"/>
      <c r="D70" s="509" t="s">
        <v>923</v>
      </c>
      <c r="E70" s="196">
        <f>(K47*MAX(J30,J32))+(K60*MAX(J31,J33))</f>
        <v>102926.12</v>
      </c>
      <c r="G70" s="509" t="s">
        <v>923</v>
      </c>
      <c r="H70" s="196">
        <f>E70*E17^-(-LOG(1-$E$26)/LOG(2))*E17</f>
        <v>23435917.661565375</v>
      </c>
      <c r="J70" s="493"/>
      <c r="K70" s="188"/>
    </row>
    <row r="71" spans="2:12" ht="15" customHeight="1" x14ac:dyDescent="0.2">
      <c r="B71" s="758"/>
      <c r="D71" s="489" t="s">
        <v>924</v>
      </c>
      <c r="E71" s="196">
        <f>(T47*MAX(J30,J32))+(T60*MAX(J31,J33))</f>
        <v>159543.03200000001</v>
      </c>
      <c r="G71" s="489" t="s">
        <v>924</v>
      </c>
      <c r="H71" s="196">
        <f>E71*E18^-(-LOG(1-$E$26)/LOG(2))*E18</f>
        <v>18023576.127751566</v>
      </c>
      <c r="J71" s="169"/>
      <c r="K71" s="188"/>
    </row>
    <row r="72" spans="2:12" ht="21" thickBot="1" x14ac:dyDescent="0.25">
      <c r="B72" s="759"/>
      <c r="D72" s="490" t="s">
        <v>926</v>
      </c>
      <c r="E72" s="197">
        <f>(AC47*MAX(J30,J32))+(AC60*MAX(J31,J33))</f>
        <v>136696.54957037035</v>
      </c>
      <c r="G72" s="490" t="s">
        <v>926</v>
      </c>
      <c r="H72" s="196">
        <f>E72*E19^-(-LOG(1-$E$26)/LOG(2))*E19</f>
        <v>22923091.233551741</v>
      </c>
      <c r="J72" s="493"/>
      <c r="K72" s="188"/>
    </row>
    <row r="73" spans="2:12" x14ac:dyDescent="0.2">
      <c r="B73" s="12"/>
    </row>
    <row r="74" spans="2:12" x14ac:dyDescent="0.2">
      <c r="B74" s="12"/>
    </row>
    <row r="75" spans="2:12" x14ac:dyDescent="0.2">
      <c r="B75" s="12"/>
    </row>
    <row r="76" spans="2:12" x14ac:dyDescent="0.2">
      <c r="B76" s="12"/>
    </row>
    <row r="77" spans="2:12" x14ac:dyDescent="0.2">
      <c r="B77" s="12"/>
    </row>
    <row r="78" spans="2:12" x14ac:dyDescent="0.2">
      <c r="B78" s="12"/>
    </row>
    <row r="79" spans="2:12" x14ac:dyDescent="0.2">
      <c r="B79" s="12"/>
    </row>
    <row r="80" spans="2:12" x14ac:dyDescent="0.2">
      <c r="B80" s="12"/>
    </row>
    <row r="81" spans="2:2" x14ac:dyDescent="0.2">
      <c r="B81" s="12"/>
    </row>
    <row r="86" spans="2:2" x14ac:dyDescent="0.2">
      <c r="B86" s="12"/>
    </row>
    <row r="87" spans="2:2" x14ac:dyDescent="0.2">
      <c r="B87" s="12"/>
    </row>
    <row r="88" spans="2:2" x14ac:dyDescent="0.2">
      <c r="B88" s="12"/>
    </row>
    <row r="89" spans="2:2" x14ac:dyDescent="0.2">
      <c r="B89" s="12"/>
    </row>
    <row r="90" spans="2:2" x14ac:dyDescent="0.2">
      <c r="B90" s="12"/>
    </row>
    <row r="91" spans="2:2" x14ac:dyDescent="0.2">
      <c r="B91" s="12"/>
    </row>
    <row r="92" spans="2:2" x14ac:dyDescent="0.2">
      <c r="B92" s="12"/>
    </row>
    <row r="93" spans="2:2" x14ac:dyDescent="0.2">
      <c r="B93" s="12"/>
    </row>
    <row r="94" spans="2:2" x14ac:dyDescent="0.2">
      <c r="B94" s="12"/>
    </row>
    <row r="95" spans="2:2" x14ac:dyDescent="0.2">
      <c r="B95" s="12"/>
    </row>
    <row r="96" spans="2:2" x14ac:dyDescent="0.2">
      <c r="B96" s="12"/>
    </row>
    <row r="97" spans="2:11" ht="16" x14ac:dyDescent="0.2">
      <c r="B97" s="12"/>
      <c r="D97" s="871"/>
      <c r="E97" s="871"/>
      <c r="F97" s="871"/>
      <c r="G97" s="871"/>
      <c r="H97" s="871"/>
      <c r="I97" s="871"/>
      <c r="J97" s="871"/>
      <c r="K97" s="871"/>
    </row>
    <row r="98" spans="2:11" x14ac:dyDescent="0.2">
      <c r="B98" s="12"/>
      <c r="F98" s="872"/>
      <c r="G98" s="872"/>
      <c r="H98" s="872"/>
      <c r="I98" s="872"/>
      <c r="J98" s="872"/>
      <c r="K98" s="872"/>
    </row>
    <row r="99" spans="2:11" ht="23" customHeight="1" x14ac:dyDescent="0.2">
      <c r="D99" s="788"/>
      <c r="E99" s="48"/>
    </row>
    <row r="100" spans="2:11" ht="42" customHeight="1" x14ac:dyDescent="0.2">
      <c r="D100" s="788"/>
      <c r="E100" s="49"/>
    </row>
    <row r="101" spans="2:11" ht="49" customHeight="1" x14ac:dyDescent="0.2">
      <c r="D101" s="788"/>
      <c r="E101" s="48"/>
    </row>
    <row r="102" spans="2:11" ht="49" customHeight="1" x14ac:dyDescent="0.2">
      <c r="D102" s="788"/>
      <c r="E102" s="48"/>
    </row>
    <row r="103" spans="2:11" x14ac:dyDescent="0.2">
      <c r="D103" s="788"/>
      <c r="E103" s="50"/>
      <c r="F103" s="870"/>
      <c r="G103" s="870"/>
      <c r="H103" s="870"/>
      <c r="I103" s="870"/>
      <c r="J103" s="870"/>
      <c r="K103" s="870"/>
    </row>
    <row r="104" spans="2:11" x14ac:dyDescent="0.2">
      <c r="D104" s="787"/>
      <c r="E104" s="48"/>
    </row>
    <row r="105" spans="2:11" x14ac:dyDescent="0.2">
      <c r="D105" s="787"/>
      <c r="E105" s="49"/>
    </row>
    <row r="106" spans="2:11" x14ac:dyDescent="0.2">
      <c r="D106" s="787"/>
      <c r="E106" s="48"/>
    </row>
    <row r="107" spans="2:11" x14ac:dyDescent="0.2">
      <c r="B107" s="12"/>
      <c r="D107" s="787"/>
      <c r="E107" s="48"/>
    </row>
    <row r="108" spans="2:11" x14ac:dyDescent="0.2">
      <c r="B108" s="12"/>
      <c r="D108" s="787"/>
      <c r="E108" s="50"/>
      <c r="F108" s="870"/>
      <c r="G108" s="870"/>
      <c r="H108" s="870"/>
      <c r="I108" s="870"/>
      <c r="J108" s="870"/>
      <c r="K108" s="870"/>
    </row>
    <row r="109" spans="2:11" x14ac:dyDescent="0.2">
      <c r="B109" s="12"/>
    </row>
    <row r="110" spans="2:11" x14ac:dyDescent="0.2">
      <c r="B110" s="12"/>
    </row>
    <row r="111" spans="2:11" x14ac:dyDescent="0.2">
      <c r="B111" s="12"/>
    </row>
    <row r="112" spans="2:11" x14ac:dyDescent="0.2">
      <c r="B112" s="12"/>
    </row>
  </sheetData>
  <sheetProtection algorithmName="SHA-512" hashValue="LF7OYRCnmjkXeQZm0CHyXXKG4dDnz2D9HL09b05elSYVjrv0x9/HlujdUg39iLoBhCloYWsWtw3aRsrCV0qOMA==" saltValue="HJMpEaF442KKRypJc855Zw==" spinCount="100000" sheet="1" objects="1" scenarios="1"/>
  <mergeCells count="42">
    <mergeCell ref="B3:B35"/>
    <mergeCell ref="J98:K98"/>
    <mergeCell ref="D39:K39"/>
    <mergeCell ref="D97:K97"/>
    <mergeCell ref="D40:D47"/>
    <mergeCell ref="D49:D60"/>
    <mergeCell ref="B39:B60"/>
    <mergeCell ref="F98:G98"/>
    <mergeCell ref="H98:I98"/>
    <mergeCell ref="I3:L3"/>
    <mergeCell ref="D24:F24"/>
    <mergeCell ref="D64:E64"/>
    <mergeCell ref="D65:E65"/>
    <mergeCell ref="J64:K64"/>
    <mergeCell ref="J65:K65"/>
    <mergeCell ref="B64:B72"/>
    <mergeCell ref="I47:J47"/>
    <mergeCell ref="J108:K108"/>
    <mergeCell ref="D99:D103"/>
    <mergeCell ref="F103:G103"/>
    <mergeCell ref="H103:I103"/>
    <mergeCell ref="J103:K103"/>
    <mergeCell ref="D104:D108"/>
    <mergeCell ref="F108:G108"/>
    <mergeCell ref="H108:I108"/>
    <mergeCell ref="I60:J60"/>
    <mergeCell ref="G64:H64"/>
    <mergeCell ref="G65:H65"/>
    <mergeCell ref="O16:O17"/>
    <mergeCell ref="O18:O19"/>
    <mergeCell ref="D3:G3"/>
    <mergeCell ref="V39:AC39"/>
    <mergeCell ref="M39:T39"/>
    <mergeCell ref="I28:J28"/>
    <mergeCell ref="I17:K17"/>
    <mergeCell ref="M5:N15"/>
    <mergeCell ref="D15:E15"/>
    <mergeCell ref="M40:M47"/>
    <mergeCell ref="V40:V47"/>
    <mergeCell ref="U42:U50"/>
    <mergeCell ref="M49:M60"/>
    <mergeCell ref="V49:V60"/>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6EFC-5D3B-4D4D-9AC6-5F1D82782CF4}">
  <dimension ref="B2:Q129"/>
  <sheetViews>
    <sheetView topLeftCell="A96" zoomScaleNormal="100" workbookViewId="0">
      <selection activeCell="Q26" sqref="Q26"/>
    </sheetView>
  </sheetViews>
  <sheetFormatPr baseColWidth="10" defaultRowHeight="15" x14ac:dyDescent="0.2"/>
  <cols>
    <col min="1" max="3" width="10.83203125" style="1"/>
    <col min="4" max="4" width="13" style="1" customWidth="1"/>
    <col min="5" max="5" width="15.1640625" style="1" customWidth="1"/>
    <col min="6" max="6" width="15.5" style="1" bestFit="1" customWidth="1"/>
    <col min="7" max="7" width="22" style="1" bestFit="1" customWidth="1"/>
    <col min="8" max="10" width="11.6640625" style="1" bestFit="1" customWidth="1"/>
    <col min="11" max="11" width="15.5" style="1" bestFit="1" customWidth="1"/>
    <col min="12" max="14" width="11.6640625" style="1" bestFit="1" customWidth="1"/>
    <col min="15" max="15" width="15.6640625" style="1" customWidth="1"/>
    <col min="16" max="16" width="19.33203125" style="1" bestFit="1" customWidth="1"/>
    <col min="17" max="17" width="25.5" style="1" bestFit="1" customWidth="1"/>
    <col min="18" max="18" width="11.6640625" style="1" customWidth="1"/>
    <col min="19" max="16384" width="10.83203125" style="1"/>
  </cols>
  <sheetData>
    <row r="2" spans="2:15" ht="16" thickBot="1" x14ac:dyDescent="0.25"/>
    <row r="3" spans="2:15" ht="19" customHeight="1" x14ac:dyDescent="0.25">
      <c r="B3" s="757" t="s">
        <v>25</v>
      </c>
      <c r="D3" s="848" t="s">
        <v>931</v>
      </c>
      <c r="E3" s="878"/>
      <c r="F3" s="878"/>
      <c r="G3" s="849"/>
      <c r="I3" s="920" t="s">
        <v>989</v>
      </c>
      <c r="J3" s="921"/>
      <c r="K3" s="921"/>
      <c r="L3" s="921"/>
      <c r="M3" s="922"/>
    </row>
    <row r="4" spans="2:15" ht="17" customHeight="1" thickBot="1" x14ac:dyDescent="0.25">
      <c r="B4" s="758"/>
      <c r="D4" s="763" t="s">
        <v>62</v>
      </c>
      <c r="E4" s="764"/>
      <c r="F4" s="579" t="s">
        <v>900</v>
      </c>
      <c r="G4" s="580" t="s">
        <v>984</v>
      </c>
      <c r="I4" s="923"/>
      <c r="J4" s="756"/>
      <c r="K4" s="756"/>
      <c r="L4" s="756"/>
      <c r="M4" s="924"/>
    </row>
    <row r="5" spans="2:15" ht="17" customHeight="1" x14ac:dyDescent="0.2">
      <c r="B5" s="758"/>
      <c r="D5" s="913" t="s">
        <v>922</v>
      </c>
      <c r="E5" s="914"/>
      <c r="F5" s="584">
        <v>1</v>
      </c>
      <c r="G5" s="581" t="s">
        <v>9</v>
      </c>
      <c r="I5" s="923"/>
      <c r="J5" s="756"/>
      <c r="K5" s="756"/>
      <c r="L5" s="756"/>
      <c r="M5" s="924"/>
    </row>
    <row r="6" spans="2:15" x14ac:dyDescent="0.2">
      <c r="B6" s="758"/>
      <c r="D6" s="902" t="s">
        <v>923</v>
      </c>
      <c r="E6" s="903"/>
      <c r="F6" s="585">
        <f>'1. MADWEC CapEx'!K4</f>
        <v>777</v>
      </c>
      <c r="G6" s="582" t="str">
        <f>IF(K121&gt;=O122,"YES","NO")</f>
        <v>YES</v>
      </c>
      <c r="I6" s="923"/>
      <c r="J6" s="756"/>
      <c r="K6" s="756"/>
      <c r="L6" s="756"/>
      <c r="M6" s="924"/>
    </row>
    <row r="7" spans="2:15" x14ac:dyDescent="0.2">
      <c r="B7" s="758"/>
      <c r="D7" s="902" t="s">
        <v>925</v>
      </c>
      <c r="E7" s="903"/>
      <c r="F7" s="585">
        <f>'1. MADWEC CapEx'!K5</f>
        <v>329</v>
      </c>
      <c r="G7" s="582" t="str">
        <f>IF(K122&gt;=O122,"YES","NO")</f>
        <v>YES</v>
      </c>
      <c r="I7" s="923"/>
      <c r="J7" s="756"/>
      <c r="K7" s="756"/>
      <c r="L7" s="756"/>
      <c r="M7" s="924"/>
    </row>
    <row r="8" spans="2:15" ht="19" customHeight="1" x14ac:dyDescent="0.2">
      <c r="B8" s="758"/>
      <c r="D8" s="904" t="s">
        <v>926</v>
      </c>
      <c r="E8" s="905"/>
      <c r="F8" s="586">
        <f>'1. MADWEC CapEx'!K6</f>
        <v>534</v>
      </c>
      <c r="G8" s="582" t="str">
        <f>IF(K123&gt;=O122,"YES","NO")</f>
        <v>YES</v>
      </c>
      <c r="I8" s="923"/>
      <c r="J8" s="756"/>
      <c r="K8" s="756"/>
      <c r="L8" s="756"/>
      <c r="M8" s="924"/>
    </row>
    <row r="9" spans="2:15" x14ac:dyDescent="0.2">
      <c r="B9" s="758"/>
      <c r="D9" s="902" t="s">
        <v>927</v>
      </c>
      <c r="E9" s="903"/>
      <c r="F9" s="585">
        <f>'1. MADWEC CapEx'!K7</f>
        <v>415</v>
      </c>
      <c r="G9" s="582" t="str">
        <f>IF(K124&gt;=O121,"YES","NO")</f>
        <v>YES</v>
      </c>
      <c r="I9" s="923"/>
      <c r="J9" s="756"/>
      <c r="K9" s="756"/>
      <c r="L9" s="756"/>
      <c r="M9" s="924"/>
    </row>
    <row r="10" spans="2:15" x14ac:dyDescent="0.2">
      <c r="B10" s="758"/>
      <c r="D10" s="902" t="s">
        <v>928</v>
      </c>
      <c r="E10" s="903"/>
      <c r="F10" s="585">
        <f>'1. MADWEC CapEx'!K8</f>
        <v>176</v>
      </c>
      <c r="G10" s="582" t="str">
        <f>IF(K125&gt;=O121,"YES","NO")</f>
        <v>YES</v>
      </c>
      <c r="I10" s="923"/>
      <c r="J10" s="756"/>
      <c r="K10" s="756"/>
      <c r="L10" s="756"/>
      <c r="M10" s="924"/>
    </row>
    <row r="11" spans="2:15" ht="16" thickBot="1" x14ac:dyDescent="0.25">
      <c r="B11" s="758"/>
      <c r="D11" s="918" t="s">
        <v>930</v>
      </c>
      <c r="E11" s="919"/>
      <c r="F11" s="587">
        <f>'1. MADWEC CapEx'!K9</f>
        <v>285</v>
      </c>
      <c r="G11" s="583" t="str">
        <f>IF(K126&gt;=O121,"YES","NO")</f>
        <v>YES</v>
      </c>
      <c r="I11" s="925"/>
      <c r="J11" s="926"/>
      <c r="K11" s="926"/>
      <c r="L11" s="926"/>
      <c r="M11" s="927"/>
    </row>
    <row r="12" spans="2:15" ht="16" thickBot="1" x14ac:dyDescent="0.25">
      <c r="B12" s="758"/>
    </row>
    <row r="13" spans="2:15" ht="15" customHeight="1" x14ac:dyDescent="0.2">
      <c r="B13" s="758"/>
      <c r="D13" s="915" t="s">
        <v>615</v>
      </c>
      <c r="E13" s="916"/>
      <c r="F13" s="916"/>
      <c r="G13" s="916"/>
      <c r="H13" s="916"/>
      <c r="I13" s="916"/>
      <c r="J13" s="916"/>
      <c r="K13" s="916"/>
      <c r="L13" s="916"/>
      <c r="M13" s="916"/>
      <c r="N13" s="916"/>
      <c r="O13" s="917"/>
    </row>
    <row r="14" spans="2:15" ht="16" thickBot="1" x14ac:dyDescent="0.25">
      <c r="B14" s="758"/>
      <c r="D14" s="182" t="s">
        <v>609</v>
      </c>
      <c r="E14" s="185">
        <v>4</v>
      </c>
      <c r="F14" s="185">
        <v>5</v>
      </c>
      <c r="G14" s="185">
        <v>6</v>
      </c>
      <c r="H14" s="185">
        <v>7</v>
      </c>
      <c r="I14" s="185">
        <v>8</v>
      </c>
      <c r="J14" s="185">
        <v>10</v>
      </c>
      <c r="K14" s="185">
        <v>11</v>
      </c>
      <c r="L14" s="185">
        <v>12</v>
      </c>
      <c r="M14" s="185">
        <v>14</v>
      </c>
      <c r="N14" s="185">
        <v>16</v>
      </c>
      <c r="O14" s="186">
        <v>18</v>
      </c>
    </row>
    <row r="15" spans="2:15" x14ac:dyDescent="0.2">
      <c r="B15" s="758"/>
      <c r="D15" s="183">
        <v>0.38</v>
      </c>
      <c r="E15" s="588">
        <v>3.0357650618732901E-3</v>
      </c>
      <c r="F15" s="589">
        <v>6.0491255270055597E-3</v>
      </c>
      <c r="G15" s="589">
        <v>1.0883125705413101E-3</v>
      </c>
      <c r="H15" s="589">
        <v>5.4898134739728901E-3</v>
      </c>
      <c r="I15" s="589">
        <v>2.0591059889429799E-2</v>
      </c>
      <c r="J15" s="589">
        <v>1.9443151802743801E-2</v>
      </c>
      <c r="K15" s="589">
        <v>8.0423331371100408E-3</v>
      </c>
      <c r="L15" s="589">
        <v>7.4901271983307399E-3</v>
      </c>
      <c r="M15" s="589">
        <v>2.8354772323479801E-3</v>
      </c>
      <c r="N15" s="589">
        <v>2.6683782202920601E-3</v>
      </c>
      <c r="O15" s="590">
        <v>4.8464928634517797E-3</v>
      </c>
    </row>
    <row r="16" spans="2:15" x14ac:dyDescent="0.2">
      <c r="B16" s="758"/>
      <c r="D16" s="183">
        <v>0.66</v>
      </c>
      <c r="E16" s="591">
        <v>7.7691470298149497E-3</v>
      </c>
      <c r="F16" s="592">
        <v>6.16702716886669E-3</v>
      </c>
      <c r="G16" s="592">
        <v>2.2720342370813301E-2</v>
      </c>
      <c r="H16" s="592">
        <v>9.3315071761800907E-3</v>
      </c>
      <c r="I16" s="592">
        <v>5.4119454038638402E-2</v>
      </c>
      <c r="J16" s="592">
        <v>3.3785539648302598E-3</v>
      </c>
      <c r="K16" s="592">
        <v>2.9278471314617201E-2</v>
      </c>
      <c r="L16" s="592">
        <v>5.3188552371518399E-2</v>
      </c>
      <c r="M16" s="592">
        <v>3.0064704502787001E-2</v>
      </c>
      <c r="N16" s="592">
        <v>2.3932437479749699E-2</v>
      </c>
      <c r="O16" s="593">
        <v>1.6466456966069999E-2</v>
      </c>
    </row>
    <row r="17" spans="2:15" x14ac:dyDescent="0.2">
      <c r="B17" s="758"/>
      <c r="D17" s="183">
        <v>0.96</v>
      </c>
      <c r="E17" s="591">
        <v>2.2795082070086101E-2</v>
      </c>
      <c r="F17" s="592">
        <v>2.49662128060382E-2</v>
      </c>
      <c r="G17" s="592">
        <v>0.13246610445012499</v>
      </c>
      <c r="H17" s="592">
        <v>0.12071035075184</v>
      </c>
      <c r="I17" s="592">
        <v>3.3012245255178201E-2</v>
      </c>
      <c r="J17" s="592">
        <v>0.129214411005314</v>
      </c>
      <c r="K17" s="592">
        <v>3.5860246164045102E-2</v>
      </c>
      <c r="L17" s="592">
        <v>0.15893099531402899</v>
      </c>
      <c r="M17" s="592">
        <v>8.1227771108176305E-2</v>
      </c>
      <c r="N17" s="592">
        <v>6.6792008339584402E-2</v>
      </c>
      <c r="O17" s="593">
        <v>2.08681353717717E-2</v>
      </c>
    </row>
    <row r="18" spans="2:15" x14ac:dyDescent="0.2">
      <c r="B18" s="758"/>
      <c r="D18" s="183">
        <v>1.25</v>
      </c>
      <c r="E18" s="591">
        <v>1.8739226515494499E-2</v>
      </c>
      <c r="F18" s="592">
        <v>0.11503508424938599</v>
      </c>
      <c r="G18" s="592">
        <v>1.54453470112123E-2</v>
      </c>
      <c r="H18" s="592">
        <v>2.9466709430910499E-2</v>
      </c>
      <c r="I18" s="592">
        <v>8.5344294522810102E-2</v>
      </c>
      <c r="J18" s="592">
        <v>8.9063839649060395E-2</v>
      </c>
      <c r="K18" s="592">
        <v>9.4596962872956797E-2</v>
      </c>
      <c r="L18" s="592">
        <v>0.10241045601616899</v>
      </c>
      <c r="M18" s="592">
        <v>6.4539777354364905E-2</v>
      </c>
      <c r="N18" s="592">
        <v>0.207714938894105</v>
      </c>
      <c r="O18" s="593">
        <v>2.18660299246256E-2</v>
      </c>
    </row>
    <row r="19" spans="2:15" x14ac:dyDescent="0.2">
      <c r="B19" s="758"/>
      <c r="D19" s="183">
        <v>1.5</v>
      </c>
      <c r="E19" s="591">
        <v>3.9916009435650102E-2</v>
      </c>
      <c r="F19" s="592">
        <v>5.44476159871485E-2</v>
      </c>
      <c r="G19" s="592">
        <v>0.19061492697179899</v>
      </c>
      <c r="H19" s="592">
        <v>2.3107282171004599E-2</v>
      </c>
      <c r="I19" s="592">
        <v>6.9490624414732097E-2</v>
      </c>
      <c r="J19" s="592">
        <v>6.8761061838528995E-2</v>
      </c>
      <c r="K19" s="592">
        <v>0.10736001753272501</v>
      </c>
      <c r="L19" s="592">
        <v>0.23054253350432799</v>
      </c>
      <c r="M19" s="592">
        <v>0.14300636533886399</v>
      </c>
      <c r="N19" s="592">
        <v>7.8171909447302804E-2</v>
      </c>
      <c r="O19" s="593">
        <v>0.19226529347547999</v>
      </c>
    </row>
    <row r="20" spans="2:15" x14ac:dyDescent="0.2">
      <c r="B20" s="758"/>
      <c r="D20" s="183">
        <v>1.75</v>
      </c>
      <c r="E20" s="591">
        <v>4.8221634979536E-2</v>
      </c>
      <c r="F20" s="592">
        <v>0.12394697227335801</v>
      </c>
      <c r="G20" s="592">
        <v>0.113683486615587</v>
      </c>
      <c r="H20" s="592">
        <v>8.4003002816236502E-2</v>
      </c>
      <c r="I20" s="592">
        <v>0.22806230149558199</v>
      </c>
      <c r="J20" s="592">
        <v>0.50335635790294397</v>
      </c>
      <c r="K20" s="592">
        <v>0.311585758630337</v>
      </c>
      <c r="L20" s="592">
        <v>0.38958989653014697</v>
      </c>
      <c r="M20" s="592">
        <v>0.57099121017426302</v>
      </c>
      <c r="N20" s="592">
        <v>4.5516325513561398E-2</v>
      </c>
      <c r="O20" s="593">
        <v>8.7768160303150794E-2</v>
      </c>
    </row>
    <row r="21" spans="2:15" x14ac:dyDescent="0.2">
      <c r="B21" s="758"/>
      <c r="D21" s="183">
        <v>2</v>
      </c>
      <c r="E21" s="591">
        <v>6.2825372512159805E-2</v>
      </c>
      <c r="F21" s="592">
        <v>3.6857686330366103E-2</v>
      </c>
      <c r="G21" s="592">
        <v>0.198913867989679</v>
      </c>
      <c r="H21" s="592">
        <v>0.80099062837088297</v>
      </c>
      <c r="I21" s="592">
        <v>0.14513445454851501</v>
      </c>
      <c r="J21" s="592">
        <v>0.104846221505547</v>
      </c>
      <c r="K21" s="592">
        <v>0.116740563410309</v>
      </c>
      <c r="L21" s="592">
        <v>0.23159582085894001</v>
      </c>
      <c r="M21" s="592">
        <v>3.03411196198673E-2</v>
      </c>
      <c r="N21" s="592">
        <v>0.36073197234106402</v>
      </c>
      <c r="O21" s="593">
        <v>9.3605051025616795E-2</v>
      </c>
    </row>
    <row r="22" spans="2:15" x14ac:dyDescent="0.2">
      <c r="B22" s="758"/>
      <c r="D22" s="183">
        <v>2.5</v>
      </c>
      <c r="E22" s="591">
        <v>0.10089285729235201</v>
      </c>
      <c r="F22" s="592">
        <v>0.34199057338808198</v>
      </c>
      <c r="G22" s="592">
        <v>0.18753367615930899</v>
      </c>
      <c r="H22" s="592">
        <v>0.32578033542475698</v>
      </c>
      <c r="I22" s="592">
        <v>0.30789154459838702</v>
      </c>
      <c r="J22" s="592">
        <v>2.5000083163562401</v>
      </c>
      <c r="K22" s="592">
        <v>0.55960052437926699</v>
      </c>
      <c r="L22" s="592">
        <v>0.30813598860998298</v>
      </c>
      <c r="M22" s="592">
        <v>0.66732336571084805</v>
      </c>
      <c r="N22" s="592">
        <v>0.50007478444643705</v>
      </c>
      <c r="O22" s="593">
        <v>7.2440423317339395E-2</v>
      </c>
    </row>
    <row r="23" spans="2:15" ht="16" thickBot="1" x14ac:dyDescent="0.25">
      <c r="B23" s="758"/>
      <c r="D23" s="184">
        <v>3</v>
      </c>
      <c r="E23" s="594">
        <v>0.10481089700515001</v>
      </c>
      <c r="F23" s="595">
        <v>0.197458602001338</v>
      </c>
      <c r="G23" s="595">
        <v>0.438350282403493</v>
      </c>
      <c r="H23" s="595">
        <v>0.34886391330583599</v>
      </c>
      <c r="I23" s="595">
        <v>0.35910846135508501</v>
      </c>
      <c r="J23" s="595">
        <v>0.32251555470869903</v>
      </c>
      <c r="K23" s="595">
        <v>2.43539312157754</v>
      </c>
      <c r="L23" s="595">
        <v>2.2599326978696301</v>
      </c>
      <c r="M23" s="595">
        <v>0.50343698431801498</v>
      </c>
      <c r="N23" s="595">
        <v>0.10006348839125701</v>
      </c>
      <c r="O23" s="596">
        <v>0.62689072682551095</v>
      </c>
    </row>
    <row r="24" spans="2:15" ht="16" thickBot="1" x14ac:dyDescent="0.25">
      <c r="B24" s="758"/>
    </row>
    <row r="25" spans="2:15" ht="16" x14ac:dyDescent="0.2">
      <c r="B25" s="758"/>
      <c r="D25" s="915" t="s">
        <v>616</v>
      </c>
      <c r="E25" s="916"/>
      <c r="F25" s="916"/>
      <c r="G25" s="916"/>
      <c r="H25" s="916"/>
      <c r="I25" s="916"/>
      <c r="J25" s="916"/>
      <c r="K25" s="916"/>
      <c r="L25" s="916"/>
      <c r="M25" s="916"/>
      <c r="N25" s="916"/>
      <c r="O25" s="917"/>
    </row>
    <row r="26" spans="2:15" ht="16" thickBot="1" x14ac:dyDescent="0.25">
      <c r="B26" s="758"/>
      <c r="D26" s="182" t="s">
        <v>609</v>
      </c>
      <c r="E26" s="185">
        <v>4</v>
      </c>
      <c r="F26" s="185">
        <v>5</v>
      </c>
      <c r="G26" s="185">
        <v>6</v>
      </c>
      <c r="H26" s="185">
        <v>7</v>
      </c>
      <c r="I26" s="185">
        <v>8</v>
      </c>
      <c r="J26" s="185">
        <v>10</v>
      </c>
      <c r="K26" s="185">
        <v>11</v>
      </c>
      <c r="L26" s="185">
        <v>12</v>
      </c>
      <c r="M26" s="185">
        <v>14</v>
      </c>
      <c r="N26" s="185">
        <v>16</v>
      </c>
      <c r="O26" s="186">
        <v>18</v>
      </c>
    </row>
    <row r="27" spans="2:15" x14ac:dyDescent="0.2">
      <c r="B27" s="758"/>
      <c r="D27" s="183">
        <v>0.38</v>
      </c>
      <c r="E27" s="597">
        <v>3.2507204610950999E-3</v>
      </c>
      <c r="F27" s="598">
        <v>5.4178674351585002E-3</v>
      </c>
      <c r="G27" s="598">
        <v>8.9452449567723295E-3</v>
      </c>
      <c r="H27" s="598">
        <v>1.28876080691642E-2</v>
      </c>
      <c r="I27" s="598">
        <v>9.9135446685878897E-3</v>
      </c>
      <c r="J27" s="598">
        <v>2.5521613832853E-2</v>
      </c>
      <c r="K27" s="598">
        <v>1.06743515850144E-2</v>
      </c>
      <c r="L27" s="598">
        <v>0</v>
      </c>
      <c r="M27" s="598">
        <v>2.8587896253602302E-3</v>
      </c>
      <c r="N27" s="598">
        <v>4.61095100864553E-4</v>
      </c>
      <c r="O27" s="599">
        <v>0</v>
      </c>
    </row>
    <row r="28" spans="2:15" x14ac:dyDescent="0.2">
      <c r="B28" s="758"/>
      <c r="D28" s="183">
        <v>0.66</v>
      </c>
      <c r="E28" s="600">
        <v>9.2680115273775197E-3</v>
      </c>
      <c r="F28" s="601">
        <v>2.5613832853025899E-2</v>
      </c>
      <c r="G28" s="601">
        <v>4.5256484149855898E-2</v>
      </c>
      <c r="H28" s="601">
        <v>6.9902017291066196E-2</v>
      </c>
      <c r="I28" s="601">
        <v>2.4299711815561901E-2</v>
      </c>
      <c r="J28" s="601">
        <v>5.0466858789625299E-2</v>
      </c>
      <c r="K28" s="601">
        <v>2.9141210374639698E-2</v>
      </c>
      <c r="L28" s="601">
        <v>0</v>
      </c>
      <c r="M28" s="601">
        <v>1.0005763688760799E-2</v>
      </c>
      <c r="N28" s="601">
        <v>9.6829971181556097E-4</v>
      </c>
      <c r="O28" s="602">
        <v>0</v>
      </c>
    </row>
    <row r="29" spans="2:15" x14ac:dyDescent="0.2">
      <c r="B29" s="758"/>
      <c r="D29" s="183">
        <v>0.96</v>
      </c>
      <c r="E29" s="600">
        <v>2.1440922190201698E-3</v>
      </c>
      <c r="F29" s="601">
        <v>1.98040345821325E-2</v>
      </c>
      <c r="G29" s="601">
        <v>4.2167146974063402E-2</v>
      </c>
      <c r="H29" s="601">
        <v>8.7999999999999995E-2</v>
      </c>
      <c r="I29" s="601">
        <v>4.2466858789625299E-2</v>
      </c>
      <c r="J29" s="601">
        <v>5.4086455331412098E-2</v>
      </c>
      <c r="K29" s="601">
        <v>2.0680115273775199E-2</v>
      </c>
      <c r="L29" s="601">
        <v>0</v>
      </c>
      <c r="M29" s="601">
        <v>9.7752161383285307E-3</v>
      </c>
      <c r="N29" s="601">
        <v>2.9279538904899102E-3</v>
      </c>
      <c r="O29" s="602">
        <v>1.3832853025936599E-4</v>
      </c>
    </row>
    <row r="30" spans="2:15" x14ac:dyDescent="0.2">
      <c r="B30" s="758"/>
      <c r="D30" s="183">
        <v>1.25</v>
      </c>
      <c r="E30" s="600">
        <v>1.6138328530259299E-4</v>
      </c>
      <c r="F30" s="601">
        <v>4.3112391930835697E-3</v>
      </c>
      <c r="G30" s="601">
        <v>1.8743515850143999E-2</v>
      </c>
      <c r="H30" s="601">
        <v>4.4587896253602301E-2</v>
      </c>
      <c r="I30" s="601">
        <v>2.74582132564841E-2</v>
      </c>
      <c r="J30" s="601">
        <v>4.1636887608069099E-2</v>
      </c>
      <c r="K30" s="601">
        <v>2.1925072046109498E-2</v>
      </c>
      <c r="L30" s="601">
        <v>0</v>
      </c>
      <c r="M30" s="601">
        <v>5.3717579250720402E-3</v>
      </c>
      <c r="N30" s="601">
        <v>1.03746397694524E-3</v>
      </c>
      <c r="O30" s="602">
        <v>5.7636887608069102E-4</v>
      </c>
    </row>
    <row r="31" spans="2:15" x14ac:dyDescent="0.2">
      <c r="B31" s="758"/>
      <c r="D31" s="183">
        <v>1.5</v>
      </c>
      <c r="E31" s="600">
        <v>0</v>
      </c>
      <c r="F31" s="601">
        <v>6.6858789625360204E-4</v>
      </c>
      <c r="G31" s="601">
        <v>4.7953890489913498E-3</v>
      </c>
      <c r="H31" s="601">
        <v>1.9711815561959601E-2</v>
      </c>
      <c r="I31" s="601">
        <v>1.45014409221902E-2</v>
      </c>
      <c r="J31" s="601">
        <v>2.1394812680115199E-2</v>
      </c>
      <c r="K31" s="601">
        <v>1.8259365994236301E-2</v>
      </c>
      <c r="L31" s="601">
        <v>0</v>
      </c>
      <c r="M31" s="601">
        <v>3.7579250720461001E-3</v>
      </c>
      <c r="N31" s="601">
        <v>7.3775216138328504E-4</v>
      </c>
      <c r="O31" s="602">
        <v>1.3832853025936599E-4</v>
      </c>
    </row>
    <row r="32" spans="2:15" x14ac:dyDescent="0.2">
      <c r="B32" s="758"/>
      <c r="D32" s="183">
        <v>1.75</v>
      </c>
      <c r="E32" s="600">
        <v>0</v>
      </c>
      <c r="F32" s="601">
        <v>4.6109510086455301E-5</v>
      </c>
      <c r="G32" s="601">
        <v>9.4524495677233403E-4</v>
      </c>
      <c r="H32" s="601">
        <v>7.8155619596541794E-3</v>
      </c>
      <c r="I32" s="601">
        <v>7.2391930835734803E-3</v>
      </c>
      <c r="J32" s="601">
        <v>1.60461095100864E-2</v>
      </c>
      <c r="K32" s="601">
        <v>1.4201729106628201E-2</v>
      </c>
      <c r="L32" s="601">
        <v>0</v>
      </c>
      <c r="M32" s="601">
        <v>3.5965417867435102E-3</v>
      </c>
      <c r="N32" s="601">
        <v>3.4582132564841498E-4</v>
      </c>
      <c r="O32" s="602">
        <v>1.3832853025936599E-4</v>
      </c>
    </row>
    <row r="33" spans="2:15" x14ac:dyDescent="0.2">
      <c r="B33" s="758"/>
      <c r="D33" s="183">
        <v>2</v>
      </c>
      <c r="E33" s="600">
        <v>0</v>
      </c>
      <c r="F33" s="601">
        <v>0</v>
      </c>
      <c r="G33" s="601">
        <v>2.30547550432276E-5</v>
      </c>
      <c r="H33" s="601">
        <v>3.7348703170028801E-3</v>
      </c>
      <c r="I33" s="601">
        <v>4.1959654178674302E-3</v>
      </c>
      <c r="J33" s="601">
        <v>8.0000000000000002E-3</v>
      </c>
      <c r="K33" s="601">
        <v>1.0028818443804001E-2</v>
      </c>
      <c r="L33" s="601">
        <v>0</v>
      </c>
      <c r="M33" s="601">
        <v>4.2190201729106602E-3</v>
      </c>
      <c r="N33" s="601">
        <v>3.6887608069164198E-4</v>
      </c>
      <c r="O33" s="602">
        <v>0</v>
      </c>
    </row>
    <row r="34" spans="2:15" x14ac:dyDescent="0.2">
      <c r="B34" s="758"/>
      <c r="D34" s="183">
        <v>2.5</v>
      </c>
      <c r="E34" s="600">
        <v>0</v>
      </c>
      <c r="F34" s="601">
        <v>0</v>
      </c>
      <c r="G34" s="601">
        <v>0</v>
      </c>
      <c r="H34" s="601">
        <v>9.913544668587891E-4</v>
      </c>
      <c r="I34" s="601">
        <v>2.3515850144092201E-3</v>
      </c>
      <c r="J34" s="601">
        <v>8.0230547550432206E-3</v>
      </c>
      <c r="K34" s="601">
        <v>1.10662824207492E-2</v>
      </c>
      <c r="L34" s="601">
        <v>0</v>
      </c>
      <c r="M34" s="601">
        <v>6.2478386167146901E-3</v>
      </c>
      <c r="N34" s="601">
        <v>1.24495677233429E-3</v>
      </c>
      <c r="O34" s="602">
        <v>0</v>
      </c>
    </row>
    <row r="35" spans="2:15" ht="16" thickBot="1" x14ac:dyDescent="0.25">
      <c r="B35" s="758"/>
      <c r="D35" s="184">
        <v>3</v>
      </c>
      <c r="E35" s="603">
        <v>0</v>
      </c>
      <c r="F35" s="604">
        <v>0</v>
      </c>
      <c r="G35" s="604">
        <v>2.30547550432276E-5</v>
      </c>
      <c r="H35" s="604">
        <v>2.30547550432276E-5</v>
      </c>
      <c r="I35" s="604">
        <v>6.2247838616714696E-4</v>
      </c>
      <c r="J35" s="604">
        <v>2.0288184438040299E-3</v>
      </c>
      <c r="K35" s="604">
        <v>4.6801152737752103E-3</v>
      </c>
      <c r="L35" s="604">
        <v>0</v>
      </c>
      <c r="M35" s="604">
        <v>4.2190201729106602E-3</v>
      </c>
      <c r="N35" s="604">
        <v>7.1469740634005701E-4</v>
      </c>
      <c r="O35" s="605">
        <v>0</v>
      </c>
    </row>
    <row r="36" spans="2:15" ht="16" thickBot="1" x14ac:dyDescent="0.25">
      <c r="B36" s="758"/>
    </row>
    <row r="37" spans="2:15" ht="16" x14ac:dyDescent="0.2">
      <c r="B37" s="758"/>
      <c r="D37" s="915" t="s">
        <v>617</v>
      </c>
      <c r="E37" s="916"/>
      <c r="F37" s="916"/>
      <c r="G37" s="916"/>
      <c r="H37" s="916"/>
      <c r="I37" s="916"/>
      <c r="J37" s="916"/>
      <c r="K37" s="916"/>
      <c r="L37" s="916"/>
      <c r="M37" s="916"/>
      <c r="N37" s="916"/>
      <c r="O37" s="917"/>
    </row>
    <row r="38" spans="2:15" ht="16" thickBot="1" x14ac:dyDescent="0.25">
      <c r="B38" s="758"/>
      <c r="D38" s="182" t="s">
        <v>609</v>
      </c>
      <c r="E38" s="185">
        <v>4</v>
      </c>
      <c r="F38" s="185">
        <v>5</v>
      </c>
      <c r="G38" s="185">
        <v>6</v>
      </c>
      <c r="H38" s="185">
        <v>7</v>
      </c>
      <c r="I38" s="185">
        <v>8</v>
      </c>
      <c r="J38" s="185">
        <v>10</v>
      </c>
      <c r="K38" s="185">
        <v>11</v>
      </c>
      <c r="L38" s="185">
        <v>12</v>
      </c>
      <c r="M38" s="185">
        <v>14</v>
      </c>
      <c r="N38" s="185">
        <v>16</v>
      </c>
      <c r="O38" s="186">
        <v>18</v>
      </c>
    </row>
    <row r="39" spans="2:15" x14ac:dyDescent="0.2">
      <c r="B39" s="758"/>
      <c r="D39" s="183">
        <v>0.38</v>
      </c>
      <c r="E39" s="597">
        <v>0</v>
      </c>
      <c r="F39" s="598">
        <v>0</v>
      </c>
      <c r="G39" s="598">
        <v>0</v>
      </c>
      <c r="H39" s="598">
        <v>0</v>
      </c>
      <c r="I39" s="598">
        <v>0</v>
      </c>
      <c r="J39" s="598">
        <v>0</v>
      </c>
      <c r="K39" s="598">
        <v>0</v>
      </c>
      <c r="L39" s="598">
        <v>0</v>
      </c>
      <c r="M39" s="598">
        <v>0</v>
      </c>
      <c r="N39" s="598">
        <v>0</v>
      </c>
      <c r="O39" s="599">
        <v>0</v>
      </c>
    </row>
    <row r="40" spans="2:15" x14ac:dyDescent="0.2">
      <c r="B40" s="758"/>
      <c r="D40" s="183">
        <v>0.66</v>
      </c>
      <c r="E40" s="600">
        <v>0</v>
      </c>
      <c r="F40" s="601">
        <v>0</v>
      </c>
      <c r="G40" s="601">
        <v>0.01</v>
      </c>
      <c r="H40" s="601">
        <v>0.01</v>
      </c>
      <c r="I40" s="601">
        <v>0.01</v>
      </c>
      <c r="J40" s="601">
        <v>0.02</v>
      </c>
      <c r="K40" s="601">
        <v>0</v>
      </c>
      <c r="L40" s="601">
        <v>0</v>
      </c>
      <c r="M40" s="601">
        <v>0</v>
      </c>
      <c r="N40" s="601">
        <v>0</v>
      </c>
      <c r="O40" s="602">
        <v>0</v>
      </c>
    </row>
    <row r="41" spans="2:15" x14ac:dyDescent="0.2">
      <c r="B41" s="758"/>
      <c r="D41" s="183">
        <v>0.96</v>
      </c>
      <c r="E41" s="600">
        <v>0</v>
      </c>
      <c r="F41" s="601">
        <v>0.01</v>
      </c>
      <c r="G41" s="601">
        <v>0.02</v>
      </c>
      <c r="H41" s="601">
        <v>0.05</v>
      </c>
      <c r="I41" s="601">
        <v>0.02</v>
      </c>
      <c r="J41" s="601">
        <v>0.05</v>
      </c>
      <c r="K41" s="601">
        <v>0.02</v>
      </c>
      <c r="L41" s="601">
        <v>0</v>
      </c>
      <c r="M41" s="601">
        <v>0</v>
      </c>
      <c r="N41" s="601">
        <v>0</v>
      </c>
      <c r="O41" s="602">
        <v>0</v>
      </c>
    </row>
    <row r="42" spans="2:15" x14ac:dyDescent="0.2">
      <c r="B42" s="758"/>
      <c r="D42" s="183">
        <v>1.25</v>
      </c>
      <c r="E42" s="600">
        <v>0</v>
      </c>
      <c r="F42" s="601">
        <v>0.02</v>
      </c>
      <c r="G42" s="601">
        <v>0.03</v>
      </c>
      <c r="H42" s="601">
        <v>0.05</v>
      </c>
      <c r="I42" s="601">
        <v>0.04</v>
      </c>
      <c r="J42" s="601">
        <v>0.06</v>
      </c>
      <c r="K42" s="601">
        <v>0.02</v>
      </c>
      <c r="L42" s="601">
        <v>0</v>
      </c>
      <c r="M42" s="601">
        <v>0.01</v>
      </c>
      <c r="N42" s="601">
        <v>0</v>
      </c>
      <c r="O42" s="602">
        <v>0</v>
      </c>
    </row>
    <row r="43" spans="2:15" x14ac:dyDescent="0.2">
      <c r="B43" s="758"/>
      <c r="D43" s="183">
        <v>1.5</v>
      </c>
      <c r="E43" s="600">
        <v>0</v>
      </c>
      <c r="F43" s="601">
        <v>0.01</v>
      </c>
      <c r="G43" s="601">
        <v>0.03</v>
      </c>
      <c r="H43" s="601">
        <v>0.03</v>
      </c>
      <c r="I43" s="601">
        <v>0.02</v>
      </c>
      <c r="J43" s="601">
        <v>0.05</v>
      </c>
      <c r="K43" s="601">
        <v>0.02</v>
      </c>
      <c r="L43" s="601">
        <v>0</v>
      </c>
      <c r="M43" s="601">
        <v>0</v>
      </c>
      <c r="N43" s="601">
        <v>0</v>
      </c>
      <c r="O43" s="602">
        <v>0</v>
      </c>
    </row>
    <row r="44" spans="2:15" x14ac:dyDescent="0.2">
      <c r="B44" s="758"/>
      <c r="D44" s="183">
        <v>1.75</v>
      </c>
      <c r="E44" s="600">
        <v>0</v>
      </c>
      <c r="F44" s="601">
        <v>0</v>
      </c>
      <c r="G44" s="601">
        <v>0.02</v>
      </c>
      <c r="H44" s="601">
        <v>0.02</v>
      </c>
      <c r="I44" s="601">
        <v>0.02</v>
      </c>
      <c r="J44" s="601">
        <v>0.03</v>
      </c>
      <c r="K44" s="601">
        <v>0.02</v>
      </c>
      <c r="L44" s="601">
        <v>0</v>
      </c>
      <c r="M44" s="601">
        <v>0</v>
      </c>
      <c r="N44" s="601">
        <v>0</v>
      </c>
      <c r="O44" s="602">
        <v>0</v>
      </c>
    </row>
    <row r="45" spans="2:15" x14ac:dyDescent="0.2">
      <c r="B45" s="758"/>
      <c r="D45" s="183">
        <v>2</v>
      </c>
      <c r="E45" s="600">
        <v>0</v>
      </c>
      <c r="F45" s="601">
        <v>0</v>
      </c>
      <c r="G45" s="601">
        <v>0.01</v>
      </c>
      <c r="H45" s="601">
        <v>0.02</v>
      </c>
      <c r="I45" s="601">
        <v>0.01</v>
      </c>
      <c r="J45" s="601">
        <v>0.02</v>
      </c>
      <c r="K45" s="601">
        <v>0.02</v>
      </c>
      <c r="L45" s="601">
        <v>0</v>
      </c>
      <c r="M45" s="601">
        <v>0</v>
      </c>
      <c r="N45" s="601">
        <v>0</v>
      </c>
      <c r="O45" s="602">
        <v>0</v>
      </c>
    </row>
    <row r="46" spans="2:15" x14ac:dyDescent="0.2">
      <c r="B46" s="758"/>
      <c r="D46" s="183">
        <v>2.5</v>
      </c>
      <c r="E46" s="600">
        <v>0</v>
      </c>
      <c r="F46" s="601">
        <v>0</v>
      </c>
      <c r="G46" s="601">
        <v>0.01</v>
      </c>
      <c r="H46" s="601">
        <v>0.03</v>
      </c>
      <c r="I46" s="601">
        <v>0.02</v>
      </c>
      <c r="J46" s="601">
        <v>0.03</v>
      </c>
      <c r="K46" s="601">
        <v>0.03</v>
      </c>
      <c r="L46" s="601">
        <v>0</v>
      </c>
      <c r="M46" s="601">
        <v>0.01</v>
      </c>
      <c r="N46" s="601">
        <v>0</v>
      </c>
      <c r="O46" s="602">
        <v>0</v>
      </c>
    </row>
    <row r="47" spans="2:15" ht="16" thickBot="1" x14ac:dyDescent="0.25">
      <c r="B47" s="758"/>
      <c r="D47" s="184">
        <v>3</v>
      </c>
      <c r="E47" s="603">
        <v>0</v>
      </c>
      <c r="F47" s="604">
        <v>0</v>
      </c>
      <c r="G47" s="604">
        <v>0</v>
      </c>
      <c r="H47" s="604">
        <v>0.01</v>
      </c>
      <c r="I47" s="604">
        <v>0.01</v>
      </c>
      <c r="J47" s="604">
        <v>0.01</v>
      </c>
      <c r="K47" s="604">
        <v>0.02</v>
      </c>
      <c r="L47" s="604">
        <v>0</v>
      </c>
      <c r="M47" s="604">
        <v>0.01</v>
      </c>
      <c r="N47" s="604">
        <v>0</v>
      </c>
      <c r="O47" s="605">
        <v>0</v>
      </c>
    </row>
    <row r="48" spans="2:15" ht="16" thickBot="1" x14ac:dyDescent="0.25">
      <c r="B48" s="758"/>
    </row>
    <row r="49" spans="2:15" ht="16" x14ac:dyDescent="0.2">
      <c r="B49" s="758"/>
      <c r="D49" s="915" t="s">
        <v>618</v>
      </c>
      <c r="E49" s="916"/>
      <c r="F49" s="916"/>
      <c r="G49" s="916"/>
      <c r="H49" s="916"/>
      <c r="I49" s="916"/>
      <c r="J49" s="916"/>
      <c r="K49" s="916"/>
      <c r="L49" s="916"/>
      <c r="M49" s="916"/>
      <c r="N49" s="916"/>
      <c r="O49" s="917"/>
    </row>
    <row r="50" spans="2:15" ht="16" thickBot="1" x14ac:dyDescent="0.25">
      <c r="B50" s="758"/>
      <c r="D50" s="182" t="s">
        <v>609</v>
      </c>
      <c r="E50" s="185">
        <v>4</v>
      </c>
      <c r="F50" s="185">
        <v>5</v>
      </c>
      <c r="G50" s="185">
        <v>6</v>
      </c>
      <c r="H50" s="185">
        <v>7</v>
      </c>
      <c r="I50" s="185">
        <v>8</v>
      </c>
      <c r="J50" s="185">
        <v>10</v>
      </c>
      <c r="K50" s="185">
        <v>11</v>
      </c>
      <c r="L50" s="185">
        <v>12</v>
      </c>
      <c r="M50" s="185">
        <v>14</v>
      </c>
      <c r="N50" s="185">
        <v>16</v>
      </c>
      <c r="O50" s="186">
        <v>18</v>
      </c>
    </row>
    <row r="51" spans="2:15" x14ac:dyDescent="0.2">
      <c r="B51" s="758"/>
      <c r="D51" s="183">
        <v>0.38</v>
      </c>
      <c r="E51" s="597">
        <v>0</v>
      </c>
      <c r="F51" s="598">
        <v>0</v>
      </c>
      <c r="G51" s="598">
        <v>0</v>
      </c>
      <c r="H51" s="598">
        <v>0</v>
      </c>
      <c r="I51" s="598">
        <v>0</v>
      </c>
      <c r="J51" s="598">
        <v>0</v>
      </c>
      <c r="K51" s="598">
        <v>0</v>
      </c>
      <c r="L51" s="598">
        <v>0</v>
      </c>
      <c r="M51" s="598">
        <v>0</v>
      </c>
      <c r="N51" s="598">
        <v>0</v>
      </c>
      <c r="O51" s="599">
        <v>0</v>
      </c>
    </row>
    <row r="52" spans="2:15" x14ac:dyDescent="0.2">
      <c r="B52" s="758"/>
      <c r="D52" s="183">
        <v>0.66</v>
      </c>
      <c r="E52" s="600">
        <v>0.02</v>
      </c>
      <c r="F52" s="601">
        <v>0.03</v>
      </c>
      <c r="G52" s="601">
        <v>0.01</v>
      </c>
      <c r="H52" s="601">
        <v>0</v>
      </c>
      <c r="I52" s="601">
        <v>0</v>
      </c>
      <c r="J52" s="601">
        <v>0</v>
      </c>
      <c r="K52" s="601">
        <v>0</v>
      </c>
      <c r="L52" s="601">
        <v>0</v>
      </c>
      <c r="M52" s="601">
        <v>0</v>
      </c>
      <c r="N52" s="601">
        <v>0</v>
      </c>
      <c r="O52" s="602">
        <v>0</v>
      </c>
    </row>
    <row r="53" spans="2:15" x14ac:dyDescent="0.2">
      <c r="B53" s="758"/>
      <c r="D53" s="183">
        <v>0.96</v>
      </c>
      <c r="E53" s="600">
        <v>0.06</v>
      </c>
      <c r="F53" s="601">
        <v>0.04</v>
      </c>
      <c r="G53" s="601">
        <v>0.03</v>
      </c>
      <c r="H53" s="601">
        <v>0.01</v>
      </c>
      <c r="I53" s="601">
        <v>0</v>
      </c>
      <c r="J53" s="601">
        <v>0</v>
      </c>
      <c r="K53" s="601">
        <v>0</v>
      </c>
      <c r="L53" s="601">
        <v>0</v>
      </c>
      <c r="M53" s="601">
        <v>0</v>
      </c>
      <c r="N53" s="601">
        <v>0</v>
      </c>
      <c r="O53" s="602">
        <v>0</v>
      </c>
    </row>
    <row r="54" spans="2:15" x14ac:dyDescent="0.2">
      <c r="B54" s="758"/>
      <c r="D54" s="183">
        <v>1.25</v>
      </c>
      <c r="E54" s="600">
        <v>0.06</v>
      </c>
      <c r="F54" s="601">
        <v>0.04</v>
      </c>
      <c r="G54" s="601">
        <v>0.03</v>
      </c>
      <c r="H54" s="601">
        <v>0.02</v>
      </c>
      <c r="I54" s="601">
        <v>0.01</v>
      </c>
      <c r="J54" s="601">
        <v>0</v>
      </c>
      <c r="K54" s="601">
        <v>0</v>
      </c>
      <c r="L54" s="601">
        <v>0</v>
      </c>
      <c r="M54" s="601">
        <v>0</v>
      </c>
      <c r="N54" s="601">
        <v>0</v>
      </c>
      <c r="O54" s="602">
        <v>0</v>
      </c>
    </row>
    <row r="55" spans="2:15" x14ac:dyDescent="0.2">
      <c r="B55" s="758"/>
      <c r="D55" s="183">
        <v>1.5</v>
      </c>
      <c r="E55" s="600">
        <v>0.03</v>
      </c>
      <c r="F55" s="601">
        <v>0.04</v>
      </c>
      <c r="G55" s="601">
        <v>0.02</v>
      </c>
      <c r="H55" s="601">
        <v>0.02</v>
      </c>
      <c r="I55" s="601">
        <v>0.01</v>
      </c>
      <c r="J55" s="601">
        <v>0</v>
      </c>
      <c r="K55" s="601">
        <v>0</v>
      </c>
      <c r="L55" s="601">
        <v>0</v>
      </c>
      <c r="M55" s="601">
        <v>0</v>
      </c>
      <c r="N55" s="601">
        <v>0</v>
      </c>
      <c r="O55" s="602">
        <v>0</v>
      </c>
    </row>
    <row r="56" spans="2:15" x14ac:dyDescent="0.2">
      <c r="B56" s="758"/>
      <c r="D56" s="183">
        <v>1.75</v>
      </c>
      <c r="E56" s="600">
        <v>0.01</v>
      </c>
      <c r="F56" s="601">
        <v>0.05</v>
      </c>
      <c r="G56" s="601">
        <v>0.02</v>
      </c>
      <c r="H56" s="601">
        <v>0.02</v>
      </c>
      <c r="I56" s="601">
        <v>0.01</v>
      </c>
      <c r="J56" s="601">
        <v>0</v>
      </c>
      <c r="K56" s="601">
        <v>0</v>
      </c>
      <c r="L56" s="601">
        <v>0</v>
      </c>
      <c r="M56" s="601">
        <v>0</v>
      </c>
      <c r="N56" s="601">
        <v>0</v>
      </c>
      <c r="O56" s="602">
        <v>0</v>
      </c>
    </row>
    <row r="57" spans="2:15" x14ac:dyDescent="0.2">
      <c r="B57" s="758"/>
      <c r="D57" s="183">
        <v>2</v>
      </c>
      <c r="E57" s="600">
        <v>0</v>
      </c>
      <c r="F57" s="601">
        <v>0.06</v>
      </c>
      <c r="G57" s="601">
        <v>0.03</v>
      </c>
      <c r="H57" s="601">
        <v>0.02</v>
      </c>
      <c r="I57" s="601">
        <v>0.01</v>
      </c>
      <c r="J57" s="601">
        <v>0</v>
      </c>
      <c r="K57" s="601">
        <v>0</v>
      </c>
      <c r="L57" s="601">
        <v>0</v>
      </c>
      <c r="M57" s="601">
        <v>0</v>
      </c>
      <c r="N57" s="601">
        <v>0</v>
      </c>
      <c r="O57" s="602">
        <v>0</v>
      </c>
    </row>
    <row r="58" spans="2:15" x14ac:dyDescent="0.2">
      <c r="B58" s="758"/>
      <c r="D58" s="183">
        <v>2.5</v>
      </c>
      <c r="E58" s="600">
        <v>0</v>
      </c>
      <c r="F58" s="601">
        <v>7.0000000000000007E-2</v>
      </c>
      <c r="G58" s="601">
        <v>0.05</v>
      </c>
      <c r="H58" s="601">
        <v>0.02</v>
      </c>
      <c r="I58" s="601">
        <v>0.02</v>
      </c>
      <c r="J58" s="601">
        <v>0.01</v>
      </c>
      <c r="K58" s="601">
        <v>0</v>
      </c>
      <c r="L58" s="601">
        <v>0</v>
      </c>
      <c r="M58" s="601">
        <v>0</v>
      </c>
      <c r="N58" s="601">
        <v>0</v>
      </c>
      <c r="O58" s="602">
        <v>0</v>
      </c>
    </row>
    <row r="59" spans="2:15" ht="16" thickBot="1" x14ac:dyDescent="0.25">
      <c r="B59" s="759"/>
      <c r="D59" s="184">
        <v>3</v>
      </c>
      <c r="E59" s="603">
        <v>0</v>
      </c>
      <c r="F59" s="604">
        <v>0.02</v>
      </c>
      <c r="G59" s="604">
        <v>0.05</v>
      </c>
      <c r="H59" s="604">
        <v>0.02</v>
      </c>
      <c r="I59" s="604">
        <v>0.01</v>
      </c>
      <c r="J59" s="604">
        <v>0.01</v>
      </c>
      <c r="K59" s="604">
        <v>0</v>
      </c>
      <c r="L59" s="604">
        <v>0</v>
      </c>
      <c r="M59" s="604">
        <v>0</v>
      </c>
      <c r="N59" s="604">
        <v>0</v>
      </c>
      <c r="O59" s="605">
        <v>0</v>
      </c>
    </row>
    <row r="62" spans="2:15" ht="16" thickBot="1" x14ac:dyDescent="0.25">
      <c r="F62" s="720"/>
      <c r="G62" s="721"/>
      <c r="H62" s="721"/>
      <c r="I62" s="721"/>
      <c r="J62" s="721"/>
      <c r="K62" s="721"/>
      <c r="L62" s="722"/>
    </row>
    <row r="63" spans="2:15" x14ac:dyDescent="0.2">
      <c r="B63" s="757" t="s">
        <v>51</v>
      </c>
      <c r="F63" s="723"/>
      <c r="G63" s="724"/>
      <c r="H63" s="724"/>
      <c r="I63" s="724"/>
      <c r="J63" s="724"/>
      <c r="K63" s="724"/>
      <c r="L63" s="725"/>
    </row>
    <row r="64" spans="2:15" x14ac:dyDescent="0.2">
      <c r="B64" s="758"/>
      <c r="F64" s="723"/>
      <c r="G64" s="724"/>
      <c r="H64" s="724"/>
      <c r="I64" s="724"/>
      <c r="J64" s="724"/>
      <c r="K64" s="724"/>
      <c r="L64" s="725"/>
    </row>
    <row r="65" spans="2:15" x14ac:dyDescent="0.2">
      <c r="B65" s="758"/>
      <c r="F65" s="723"/>
      <c r="G65" s="724"/>
      <c r="H65" s="724"/>
      <c r="I65" s="724"/>
      <c r="J65" s="724"/>
      <c r="K65" s="724"/>
      <c r="L65" s="725"/>
    </row>
    <row r="66" spans="2:15" x14ac:dyDescent="0.2">
      <c r="B66" s="758"/>
      <c r="F66" s="723"/>
      <c r="G66" s="724"/>
      <c r="H66" s="724"/>
      <c r="I66" s="724"/>
      <c r="J66" s="724"/>
      <c r="K66" s="724"/>
      <c r="L66" s="725"/>
    </row>
    <row r="67" spans="2:15" x14ac:dyDescent="0.2">
      <c r="B67" s="758"/>
      <c r="F67" s="723"/>
      <c r="G67" s="724"/>
      <c r="H67" s="724"/>
      <c r="I67" s="724"/>
      <c r="J67" s="724"/>
      <c r="K67" s="724"/>
      <c r="L67" s="725"/>
    </row>
    <row r="68" spans="2:15" x14ac:dyDescent="0.2">
      <c r="B68" s="758"/>
      <c r="F68" s="723"/>
      <c r="G68" s="724"/>
      <c r="H68" s="724"/>
      <c r="I68" s="724"/>
      <c r="J68" s="724"/>
      <c r="K68" s="724"/>
      <c r="L68" s="725"/>
    </row>
    <row r="69" spans="2:15" x14ac:dyDescent="0.2">
      <c r="B69" s="758"/>
      <c r="F69" s="723"/>
      <c r="G69" s="724"/>
      <c r="H69" s="724"/>
      <c r="I69" s="724"/>
      <c r="J69" s="724"/>
      <c r="K69" s="724"/>
      <c r="L69" s="725"/>
    </row>
    <row r="70" spans="2:15" x14ac:dyDescent="0.2">
      <c r="B70" s="758"/>
      <c r="F70" s="723"/>
      <c r="G70" s="724"/>
      <c r="H70" s="724"/>
      <c r="I70" s="724"/>
      <c r="J70" s="724"/>
      <c r="K70" s="724"/>
      <c r="L70" s="725"/>
    </row>
    <row r="71" spans="2:15" x14ac:dyDescent="0.2">
      <c r="B71" s="758"/>
      <c r="F71" s="723"/>
      <c r="G71" s="724"/>
      <c r="H71" s="724"/>
      <c r="I71" s="724"/>
      <c r="J71" s="724"/>
      <c r="K71" s="724"/>
      <c r="L71" s="725"/>
    </row>
    <row r="72" spans="2:15" x14ac:dyDescent="0.2">
      <c r="B72" s="758"/>
      <c r="F72" s="723"/>
      <c r="G72" s="724"/>
      <c r="H72" s="724"/>
      <c r="I72" s="724"/>
      <c r="J72" s="724"/>
      <c r="K72" s="724"/>
      <c r="L72" s="725"/>
    </row>
    <row r="73" spans="2:15" x14ac:dyDescent="0.2">
      <c r="B73" s="758"/>
      <c r="F73" s="723"/>
      <c r="G73" s="724"/>
      <c r="H73" s="724"/>
      <c r="I73" s="724"/>
      <c r="J73" s="724"/>
      <c r="K73" s="724"/>
      <c r="L73" s="725"/>
    </row>
    <row r="74" spans="2:15" x14ac:dyDescent="0.2">
      <c r="B74" s="758"/>
      <c r="F74" s="723"/>
      <c r="G74" s="724"/>
      <c r="H74" s="724"/>
      <c r="I74" s="724"/>
      <c r="J74" s="724"/>
      <c r="K74" s="724"/>
      <c r="L74" s="725"/>
    </row>
    <row r="75" spans="2:15" x14ac:dyDescent="0.2">
      <c r="B75" s="758"/>
      <c r="F75" s="723"/>
      <c r="G75" s="724"/>
      <c r="H75" s="724"/>
      <c r="I75" s="724"/>
      <c r="J75" s="724"/>
      <c r="K75" s="724"/>
      <c r="L75" s="725"/>
    </row>
    <row r="76" spans="2:15" x14ac:dyDescent="0.2">
      <c r="B76" s="758"/>
      <c r="F76" s="723"/>
      <c r="G76" s="724"/>
      <c r="H76" s="724"/>
      <c r="I76" s="724"/>
      <c r="J76" s="724"/>
      <c r="K76" s="724"/>
      <c r="L76" s="725"/>
    </row>
    <row r="77" spans="2:15" x14ac:dyDescent="0.2">
      <c r="B77" s="758"/>
      <c r="F77" s="723"/>
      <c r="G77" s="724"/>
      <c r="H77" s="724"/>
      <c r="I77" s="724"/>
      <c r="J77" s="724"/>
      <c r="K77" s="724"/>
      <c r="L77" s="725"/>
    </row>
    <row r="78" spans="2:15" ht="41" customHeight="1" x14ac:dyDescent="0.2">
      <c r="B78" s="758"/>
      <c r="F78" s="726"/>
      <c r="G78" s="727"/>
      <c r="H78" s="727"/>
      <c r="I78" s="727"/>
      <c r="J78" s="727"/>
      <c r="K78" s="727"/>
      <c r="L78" s="728"/>
    </row>
    <row r="79" spans="2:15" ht="16" thickBot="1" x14ac:dyDescent="0.25">
      <c r="B79" s="758"/>
    </row>
    <row r="80" spans="2:15" ht="15" customHeight="1" x14ac:dyDescent="0.2">
      <c r="B80" s="758"/>
      <c r="D80" s="906" t="s">
        <v>610</v>
      </c>
      <c r="E80" s="907"/>
      <c r="F80" s="907"/>
      <c r="G80" s="907"/>
      <c r="H80" s="907"/>
      <c r="I80" s="907"/>
      <c r="J80" s="907"/>
      <c r="K80" s="907"/>
      <c r="L80" s="907"/>
      <c r="M80" s="907"/>
      <c r="N80" s="907"/>
      <c r="O80" s="908"/>
    </row>
    <row r="81" spans="2:17" ht="16" thickBot="1" x14ac:dyDescent="0.25">
      <c r="B81" s="758"/>
      <c r="D81" s="182" t="s">
        <v>609</v>
      </c>
      <c r="E81" s="185">
        <v>4</v>
      </c>
      <c r="F81" s="185">
        <v>5</v>
      </c>
      <c r="G81" s="185">
        <v>6</v>
      </c>
      <c r="H81" s="185">
        <v>7</v>
      </c>
      <c r="I81" s="185">
        <v>8</v>
      </c>
      <c r="J81" s="185">
        <v>10</v>
      </c>
      <c r="K81" s="185">
        <v>11</v>
      </c>
      <c r="L81" s="185">
        <v>12</v>
      </c>
      <c r="M81" s="185">
        <v>14</v>
      </c>
      <c r="N81" s="185">
        <v>16</v>
      </c>
      <c r="O81" s="186">
        <v>18</v>
      </c>
    </row>
    <row r="82" spans="2:17" x14ac:dyDescent="0.2">
      <c r="B82" s="758"/>
      <c r="D82" s="183">
        <v>0.38</v>
      </c>
      <c r="E82" s="233">
        <f>E15*E27</f>
        <v>9.8684236017091358E-6</v>
      </c>
      <c r="F82" s="234">
        <f t="shared" ref="F82:O82" si="0">F15*F27</f>
        <v>3.2773360203949424E-5</v>
      </c>
      <c r="G82" s="234">
        <f t="shared" si="0"/>
        <v>9.7352225330265849E-6</v>
      </c>
      <c r="H82" s="234">
        <f t="shared" si="0"/>
        <v>7.0750564425379372E-5</v>
      </c>
      <c r="I82" s="234">
        <f t="shared" si="0"/>
        <v>2.0413039198743073E-4</v>
      </c>
      <c r="J82" s="234">
        <f t="shared" si="0"/>
        <v>4.9622061200316691E-4</v>
      </c>
      <c r="K82" s="234">
        <f t="shared" si="0"/>
        <v>8.5846691469324403E-5</v>
      </c>
      <c r="L82" s="234">
        <f t="shared" si="0"/>
        <v>0</v>
      </c>
      <c r="M82" s="234">
        <f t="shared" si="0"/>
        <v>8.1060328947815438E-6</v>
      </c>
      <c r="N82" s="234">
        <f t="shared" si="0"/>
        <v>1.2303761246303438E-6</v>
      </c>
      <c r="O82" s="235">
        <f t="shared" si="0"/>
        <v>0</v>
      </c>
    </row>
    <row r="83" spans="2:17" x14ac:dyDescent="0.2">
      <c r="B83" s="758"/>
      <c r="D83" s="183">
        <v>0.66</v>
      </c>
      <c r="E83" s="236">
        <f>E16*E28</f>
        <v>7.2004544230215768E-5</v>
      </c>
      <c r="F83" s="237">
        <f t="shared" ref="F83:O83" si="1">F16*F28</f>
        <v>1.5796120310342094E-4</v>
      </c>
      <c r="G83" s="237">
        <f t="shared" si="1"/>
        <v>1.0282428143840116E-3</v>
      </c>
      <c r="H83" s="237">
        <f t="shared" si="1"/>
        <v>6.5229117598104901E-4</v>
      </c>
      <c r="I83" s="237">
        <f t="shared" si="1"/>
        <v>1.3150871367544608E-3</v>
      </c>
      <c r="J83" s="237">
        <f t="shared" si="1"/>
        <v>1.7050500585621739E-4</v>
      </c>
      <c r="K83" s="237">
        <f t="shared" si="1"/>
        <v>8.5321009202711355E-4</v>
      </c>
      <c r="L83" s="237">
        <f t="shared" si="1"/>
        <v>0</v>
      </c>
      <c r="M83" s="237">
        <f t="shared" si="1"/>
        <v>3.0082032862730948E-4</v>
      </c>
      <c r="N83" s="237">
        <f t="shared" si="1"/>
        <v>2.3173772314685562E-5</v>
      </c>
      <c r="O83" s="238">
        <f t="shared" si="1"/>
        <v>0</v>
      </c>
    </row>
    <row r="84" spans="2:17" x14ac:dyDescent="0.2">
      <c r="B84" s="758"/>
      <c r="D84" s="183">
        <v>0.96</v>
      </c>
      <c r="E84" s="236">
        <f t="shared" ref="E84:O84" si="2">E17*E29</f>
        <v>4.8874758098397798E-5</v>
      </c>
      <c r="F84" s="237">
        <f t="shared" si="2"/>
        <v>4.9443174179565977E-4</v>
      </c>
      <c r="G84" s="237">
        <f t="shared" si="2"/>
        <v>5.5857176954300543E-3</v>
      </c>
      <c r="H84" s="237">
        <f t="shared" si="2"/>
        <v>1.062251086616192E-2</v>
      </c>
      <c r="I84" s="237">
        <f t="shared" si="2"/>
        <v>1.4019263575801304E-3</v>
      </c>
      <c r="J84" s="237">
        <f t="shared" si="2"/>
        <v>6.9887494690136394E-3</v>
      </c>
      <c r="K84" s="237">
        <f t="shared" si="2"/>
        <v>7.4159402441840766E-4</v>
      </c>
      <c r="L84" s="237">
        <f t="shared" si="2"/>
        <v>0</v>
      </c>
      <c r="M84" s="237">
        <f t="shared" si="2"/>
        <v>7.9401901901710102E-4</v>
      </c>
      <c r="N84" s="237">
        <f t="shared" si="2"/>
        <v>1.9556392067152068E-4</v>
      </c>
      <c r="O84" s="238">
        <f t="shared" si="2"/>
        <v>2.8866584952306675E-6</v>
      </c>
    </row>
    <row r="85" spans="2:17" x14ac:dyDescent="0.2">
      <c r="B85" s="758"/>
      <c r="D85" s="183">
        <v>1.25</v>
      </c>
      <c r="E85" s="236">
        <f t="shared" ref="E85:O85" si="3">E18*E30</f>
        <v>3.0241979390999643E-6</v>
      </c>
      <c r="F85" s="237">
        <f t="shared" si="3"/>
        <v>4.9594376379562331E-4</v>
      </c>
      <c r="G85" s="237">
        <f t="shared" si="3"/>
        <v>2.8950010651563197E-4</v>
      </c>
      <c r="H85" s="237">
        <f t="shared" si="3"/>
        <v>1.3138585830404818E-3</v>
      </c>
      <c r="I85" s="237">
        <f t="shared" si="3"/>
        <v>2.3434018392315078E-3</v>
      </c>
      <c r="J85" s="237">
        <f t="shared" si="3"/>
        <v>3.7083410814110159E-3</v>
      </c>
      <c r="K85" s="237">
        <f t="shared" si="3"/>
        <v>2.074045226332723E-3</v>
      </c>
      <c r="L85" s="237">
        <f t="shared" si="3"/>
        <v>0</v>
      </c>
      <c r="M85" s="237">
        <f t="shared" si="3"/>
        <v>3.4669206048569469E-4</v>
      </c>
      <c r="N85" s="237">
        <f t="shared" si="3"/>
        <v>2.1549676657601566E-4</v>
      </c>
      <c r="O85" s="238">
        <f t="shared" si="3"/>
        <v>1.2602899092003214E-5</v>
      </c>
    </row>
    <row r="86" spans="2:17" x14ac:dyDescent="0.2">
      <c r="B86" s="758"/>
      <c r="D86" s="183">
        <v>1.5</v>
      </c>
      <c r="E86" s="236">
        <f t="shared" ref="E86:O86" si="4">E19*E31</f>
        <v>0</v>
      </c>
      <c r="F86" s="237">
        <f t="shared" si="4"/>
        <v>3.6403017028871603E-5</v>
      </c>
      <c r="G86" s="237">
        <f t="shared" si="4"/>
        <v>9.140727333748508E-4</v>
      </c>
      <c r="H86" s="237">
        <f t="shared" si="4"/>
        <v>4.5548648429300008E-4</v>
      </c>
      <c r="I86" s="237">
        <f t="shared" si="4"/>
        <v>1.0077141845963454E-3</v>
      </c>
      <c r="J86" s="237">
        <f t="shared" si="4"/>
        <v>1.4711300377211454E-3</v>
      </c>
      <c r="K86" s="237">
        <f t="shared" si="4"/>
        <v>1.9603258532776518E-3</v>
      </c>
      <c r="L86" s="237">
        <f t="shared" si="4"/>
        <v>0</v>
      </c>
      <c r="M86" s="237">
        <f t="shared" si="4"/>
        <v>5.3740720576910136E-4</v>
      </c>
      <c r="N86" s="237">
        <f t="shared" si="4"/>
        <v>5.767149515420608E-5</v>
      </c>
      <c r="O86" s="238">
        <f t="shared" si="4"/>
        <v>2.6595775466348818E-5</v>
      </c>
    </row>
    <row r="87" spans="2:17" x14ac:dyDescent="0.2">
      <c r="B87" s="758"/>
      <c r="D87" s="183">
        <v>1.75</v>
      </c>
      <c r="E87" s="236">
        <f t="shared" ref="E87:O87" si="5">E20*E32</f>
        <v>0</v>
      </c>
      <c r="F87" s="237">
        <f t="shared" si="5"/>
        <v>5.7151341682239962E-6</v>
      </c>
      <c r="G87" s="237">
        <f t="shared" si="5"/>
        <v>1.0745874239167874E-4</v>
      </c>
      <c r="H87" s="237">
        <f t="shared" si="5"/>
        <v>6.5653067330730087E-4</v>
      </c>
      <c r="I87" s="237">
        <f t="shared" si="5"/>
        <v>1.650987035610667E-3</v>
      </c>
      <c r="J87" s="237">
        <f t="shared" si="5"/>
        <v>8.0769112415088832E-3</v>
      </c>
      <c r="K87" s="237">
        <f t="shared" si="5"/>
        <v>4.4250565375512857E-3</v>
      </c>
      <c r="L87" s="237">
        <f t="shared" si="5"/>
        <v>0</v>
      </c>
      <c r="M87" s="237">
        <f t="shared" si="5"/>
        <v>2.053593747254983E-3</v>
      </c>
      <c r="N87" s="237">
        <f t="shared" si="5"/>
        <v>1.5740516027744574E-5</v>
      </c>
      <c r="O87" s="238">
        <f t="shared" si="5"/>
        <v>1.2140840618303279E-5</v>
      </c>
    </row>
    <row r="88" spans="2:17" ht="16" thickBot="1" x14ac:dyDescent="0.25">
      <c r="B88" s="758"/>
      <c r="D88" s="183">
        <v>2</v>
      </c>
      <c r="E88" s="236">
        <f t="shared" ref="E88:O88" si="6">E21*E33</f>
        <v>0</v>
      </c>
      <c r="F88" s="237">
        <f t="shared" si="6"/>
        <v>0</v>
      </c>
      <c r="G88" s="237">
        <f t="shared" si="6"/>
        <v>4.5859105012029612E-6</v>
      </c>
      <c r="H88" s="237">
        <f t="shared" si="6"/>
        <v>2.9915961220998957E-3</v>
      </c>
      <c r="I88" s="237">
        <f t="shared" si="6"/>
        <v>6.0897915222662133E-4</v>
      </c>
      <c r="J88" s="237">
        <f t="shared" si="6"/>
        <v>8.3876977204437597E-4</v>
      </c>
      <c r="K88" s="237">
        <f t="shared" si="6"/>
        <v>1.1707699154693773E-3</v>
      </c>
      <c r="L88" s="237">
        <f t="shared" si="6"/>
        <v>0</v>
      </c>
      <c r="M88" s="237">
        <f t="shared" si="6"/>
        <v>1.2800979574491554E-4</v>
      </c>
      <c r="N88" s="237">
        <f t="shared" si="6"/>
        <v>1.3306539613733751E-4</v>
      </c>
      <c r="O88" s="238">
        <f t="shared" si="6"/>
        <v>0</v>
      </c>
    </row>
    <row r="89" spans="2:17" ht="16" thickBot="1" x14ac:dyDescent="0.25">
      <c r="B89" s="758"/>
      <c r="D89" s="183">
        <v>2.5</v>
      </c>
      <c r="E89" s="236">
        <f t="shared" ref="E89:O89" si="7">E22*E34</f>
        <v>0</v>
      </c>
      <c r="F89" s="237">
        <f t="shared" si="7"/>
        <v>0</v>
      </c>
      <c r="G89" s="237">
        <f t="shared" si="7"/>
        <v>0</v>
      </c>
      <c r="H89" s="237">
        <f t="shared" si="7"/>
        <v>3.2296379073808743E-4</v>
      </c>
      <c r="I89" s="237">
        <f t="shared" si="7"/>
        <v>7.2403314234087499E-4</v>
      </c>
      <c r="J89" s="237">
        <f t="shared" si="7"/>
        <v>2.0057703610189527E-2</v>
      </c>
      <c r="K89" s="237">
        <f t="shared" si="7"/>
        <v>6.1926974455803162E-3</v>
      </c>
      <c r="L89" s="237">
        <f t="shared" si="7"/>
        <v>0</v>
      </c>
      <c r="M89" s="237">
        <f t="shared" si="7"/>
        <v>4.1693286941242563E-3</v>
      </c>
      <c r="N89" s="237">
        <f t="shared" si="7"/>
        <v>6.2257148957020213E-4</v>
      </c>
      <c r="O89" s="238">
        <f t="shared" si="7"/>
        <v>0</v>
      </c>
      <c r="P89" s="222" t="s">
        <v>613</v>
      </c>
      <c r="Q89" s="223" t="s">
        <v>614</v>
      </c>
    </row>
    <row r="90" spans="2:17" ht="16" thickBot="1" x14ac:dyDescent="0.25">
      <c r="B90" s="758"/>
      <c r="D90" s="184">
        <v>3</v>
      </c>
      <c r="E90" s="239">
        <f t="shared" ref="E90:O90" si="8">E23*E35</f>
        <v>0</v>
      </c>
      <c r="F90" s="240">
        <f t="shared" si="8"/>
        <v>0</v>
      </c>
      <c r="G90" s="240">
        <f t="shared" si="8"/>
        <v>1.0106058383942173E-5</v>
      </c>
      <c r="H90" s="240">
        <f t="shared" si="8"/>
        <v>8.0429720646878392E-6</v>
      </c>
      <c r="I90" s="240">
        <f t="shared" si="8"/>
        <v>2.2353725548328058E-4</v>
      </c>
      <c r="J90" s="240">
        <f t="shared" si="8"/>
        <v>6.543255058066962E-4</v>
      </c>
      <c r="K90" s="240">
        <f t="shared" si="8"/>
        <v>1.1397920545942132E-2</v>
      </c>
      <c r="L90" s="240">
        <f t="shared" si="8"/>
        <v>0</v>
      </c>
      <c r="M90" s="240">
        <f t="shared" si="8"/>
        <v>2.124010792627013E-3</v>
      </c>
      <c r="N90" s="240">
        <f t="shared" si="8"/>
        <v>7.1515115622569782E-5</v>
      </c>
      <c r="O90" s="241">
        <f t="shared" si="8"/>
        <v>0</v>
      </c>
      <c r="P90" s="244">
        <f>SUM(E82:O90)</f>
        <v>0.11909661252144166</v>
      </c>
      <c r="Q90" s="452">
        <f>P90*8760</f>
        <v>1043.2863256878288</v>
      </c>
    </row>
    <row r="91" spans="2:17" ht="16" thickBot="1" x14ac:dyDescent="0.25">
      <c r="B91" s="758"/>
    </row>
    <row r="92" spans="2:17" x14ac:dyDescent="0.2">
      <c r="B92" s="758"/>
      <c r="D92" s="906" t="s">
        <v>611</v>
      </c>
      <c r="E92" s="907"/>
      <c r="F92" s="907"/>
      <c r="G92" s="907"/>
      <c r="H92" s="907"/>
      <c r="I92" s="907"/>
      <c r="J92" s="907"/>
      <c r="K92" s="907"/>
      <c r="L92" s="907"/>
      <c r="M92" s="907"/>
      <c r="N92" s="907"/>
      <c r="O92" s="908"/>
    </row>
    <row r="93" spans="2:17" ht="16" thickBot="1" x14ac:dyDescent="0.25">
      <c r="B93" s="758"/>
      <c r="D93" s="182" t="s">
        <v>609</v>
      </c>
      <c r="E93" s="185">
        <v>4</v>
      </c>
      <c r="F93" s="185">
        <v>5</v>
      </c>
      <c r="G93" s="185">
        <v>6</v>
      </c>
      <c r="H93" s="185">
        <v>7</v>
      </c>
      <c r="I93" s="185">
        <v>8</v>
      </c>
      <c r="J93" s="185">
        <v>10</v>
      </c>
      <c r="K93" s="185">
        <v>11</v>
      </c>
      <c r="L93" s="185">
        <v>12</v>
      </c>
      <c r="M93" s="185">
        <v>14</v>
      </c>
      <c r="N93" s="185">
        <v>16</v>
      </c>
      <c r="O93" s="186">
        <v>18</v>
      </c>
    </row>
    <row r="94" spans="2:17" x14ac:dyDescent="0.2">
      <c r="B94" s="758"/>
      <c r="D94" s="183">
        <v>0.38</v>
      </c>
      <c r="E94" s="233">
        <f>E15*E39</f>
        <v>0</v>
      </c>
      <c r="F94" s="234">
        <f t="shared" ref="F94:O94" si="9">F15*F39</f>
        <v>0</v>
      </c>
      <c r="G94" s="234">
        <f t="shared" si="9"/>
        <v>0</v>
      </c>
      <c r="H94" s="234">
        <f t="shared" si="9"/>
        <v>0</v>
      </c>
      <c r="I94" s="234">
        <f t="shared" si="9"/>
        <v>0</v>
      </c>
      <c r="J94" s="234">
        <f t="shared" si="9"/>
        <v>0</v>
      </c>
      <c r="K94" s="234">
        <f t="shared" si="9"/>
        <v>0</v>
      </c>
      <c r="L94" s="234">
        <f t="shared" si="9"/>
        <v>0</v>
      </c>
      <c r="M94" s="234">
        <f t="shared" si="9"/>
        <v>0</v>
      </c>
      <c r="N94" s="234">
        <f t="shared" si="9"/>
        <v>0</v>
      </c>
      <c r="O94" s="235">
        <f t="shared" si="9"/>
        <v>0</v>
      </c>
    </row>
    <row r="95" spans="2:17" x14ac:dyDescent="0.2">
      <c r="B95" s="758"/>
      <c r="D95" s="183">
        <v>0.66</v>
      </c>
      <c r="E95" s="236">
        <f t="shared" ref="E95:O95" si="10">E16*E40</f>
        <v>0</v>
      </c>
      <c r="F95" s="237">
        <f t="shared" si="10"/>
        <v>0</v>
      </c>
      <c r="G95" s="237">
        <f t="shared" si="10"/>
        <v>2.2720342370813302E-4</v>
      </c>
      <c r="H95" s="237">
        <f t="shared" si="10"/>
        <v>9.3315071761800912E-5</v>
      </c>
      <c r="I95" s="237">
        <f t="shared" si="10"/>
        <v>5.4119454038638402E-4</v>
      </c>
      <c r="J95" s="237">
        <f t="shared" si="10"/>
        <v>6.7571079296605192E-5</v>
      </c>
      <c r="K95" s="237">
        <f t="shared" si="10"/>
        <v>0</v>
      </c>
      <c r="L95" s="237">
        <f t="shared" si="10"/>
        <v>0</v>
      </c>
      <c r="M95" s="237">
        <f t="shared" si="10"/>
        <v>0</v>
      </c>
      <c r="N95" s="237">
        <f t="shared" si="10"/>
        <v>0</v>
      </c>
      <c r="O95" s="238">
        <f t="shared" si="10"/>
        <v>0</v>
      </c>
    </row>
    <row r="96" spans="2:17" x14ac:dyDescent="0.2">
      <c r="B96" s="758"/>
      <c r="D96" s="183">
        <v>0.96</v>
      </c>
      <c r="E96" s="236">
        <f t="shared" ref="E96:O96" si="11">E17*E41</f>
        <v>0</v>
      </c>
      <c r="F96" s="237">
        <f t="shared" si="11"/>
        <v>2.4966212806038201E-4</v>
      </c>
      <c r="G96" s="237">
        <f t="shared" si="11"/>
        <v>2.6493220890024998E-3</v>
      </c>
      <c r="H96" s="237">
        <f t="shared" si="11"/>
        <v>6.0355175375920002E-3</v>
      </c>
      <c r="I96" s="237">
        <f t="shared" si="11"/>
        <v>6.6024490510356397E-4</v>
      </c>
      <c r="J96" s="237">
        <f t="shared" si="11"/>
        <v>6.4607205502657007E-3</v>
      </c>
      <c r="K96" s="237">
        <f t="shared" si="11"/>
        <v>7.1720492328090208E-4</v>
      </c>
      <c r="L96" s="237">
        <f t="shared" si="11"/>
        <v>0</v>
      </c>
      <c r="M96" s="237">
        <f t="shared" si="11"/>
        <v>0</v>
      </c>
      <c r="N96" s="237">
        <f t="shared" si="11"/>
        <v>0</v>
      </c>
      <c r="O96" s="238">
        <f t="shared" si="11"/>
        <v>0</v>
      </c>
    </row>
    <row r="97" spans="2:17" x14ac:dyDescent="0.2">
      <c r="B97" s="758"/>
      <c r="D97" s="183">
        <v>1.25</v>
      </c>
      <c r="E97" s="236">
        <f t="shared" ref="E97:O97" si="12">E18*E42</f>
        <v>0</v>
      </c>
      <c r="F97" s="237">
        <f t="shared" si="12"/>
        <v>2.3007016849877198E-3</v>
      </c>
      <c r="G97" s="237">
        <f t="shared" si="12"/>
        <v>4.63360410336369E-4</v>
      </c>
      <c r="H97" s="237">
        <f t="shared" si="12"/>
        <v>1.4733354715455249E-3</v>
      </c>
      <c r="I97" s="237">
        <f t="shared" si="12"/>
        <v>3.4137717809124041E-3</v>
      </c>
      <c r="J97" s="237">
        <f t="shared" si="12"/>
        <v>5.3438303789436238E-3</v>
      </c>
      <c r="K97" s="237">
        <f t="shared" si="12"/>
        <v>1.8919392574591361E-3</v>
      </c>
      <c r="L97" s="237">
        <f t="shared" si="12"/>
        <v>0</v>
      </c>
      <c r="M97" s="237">
        <f t="shared" si="12"/>
        <v>6.4539777354364909E-4</v>
      </c>
      <c r="N97" s="237">
        <f t="shared" si="12"/>
        <v>0</v>
      </c>
      <c r="O97" s="238">
        <f t="shared" si="12"/>
        <v>0</v>
      </c>
    </row>
    <row r="98" spans="2:17" x14ac:dyDescent="0.2">
      <c r="B98" s="758"/>
      <c r="D98" s="183">
        <v>1.5</v>
      </c>
      <c r="E98" s="236">
        <f t="shared" ref="E98:O98" si="13">E19*E43</f>
        <v>0</v>
      </c>
      <c r="F98" s="237">
        <f t="shared" si="13"/>
        <v>5.4447615987148498E-4</v>
      </c>
      <c r="G98" s="237">
        <f t="shared" si="13"/>
        <v>5.7184478091539693E-3</v>
      </c>
      <c r="H98" s="237">
        <f t="shared" si="13"/>
        <v>6.9321846513013797E-4</v>
      </c>
      <c r="I98" s="237">
        <f t="shared" si="13"/>
        <v>1.389812488294642E-3</v>
      </c>
      <c r="J98" s="237">
        <f t="shared" si="13"/>
        <v>3.4380530919264499E-3</v>
      </c>
      <c r="K98" s="237">
        <f t="shared" si="13"/>
        <v>2.1472003506544999E-3</v>
      </c>
      <c r="L98" s="237">
        <f t="shared" si="13"/>
        <v>0</v>
      </c>
      <c r="M98" s="237">
        <f t="shared" si="13"/>
        <v>0</v>
      </c>
      <c r="N98" s="237">
        <f t="shared" si="13"/>
        <v>0</v>
      </c>
      <c r="O98" s="238">
        <f t="shared" si="13"/>
        <v>0</v>
      </c>
    </row>
    <row r="99" spans="2:17" x14ac:dyDescent="0.2">
      <c r="B99" s="758"/>
      <c r="D99" s="183">
        <v>1.75</v>
      </c>
      <c r="E99" s="236">
        <f t="shared" ref="E99:O99" si="14">E20*E44</f>
        <v>0</v>
      </c>
      <c r="F99" s="237">
        <f t="shared" si="14"/>
        <v>0</v>
      </c>
      <c r="G99" s="237">
        <f t="shared" si="14"/>
        <v>2.2736697323117402E-3</v>
      </c>
      <c r="H99" s="237">
        <f t="shared" si="14"/>
        <v>1.6800600563247302E-3</v>
      </c>
      <c r="I99" s="237">
        <f t="shared" si="14"/>
        <v>4.5612460299116397E-3</v>
      </c>
      <c r="J99" s="237">
        <f t="shared" si="14"/>
        <v>1.5100690737088319E-2</v>
      </c>
      <c r="K99" s="237">
        <f t="shared" si="14"/>
        <v>6.2317151726067402E-3</v>
      </c>
      <c r="L99" s="237">
        <f t="shared" si="14"/>
        <v>0</v>
      </c>
      <c r="M99" s="237">
        <f t="shared" si="14"/>
        <v>0</v>
      </c>
      <c r="N99" s="237">
        <f t="shared" si="14"/>
        <v>0</v>
      </c>
      <c r="O99" s="238">
        <f t="shared" si="14"/>
        <v>0</v>
      </c>
    </row>
    <row r="100" spans="2:17" ht="16" thickBot="1" x14ac:dyDescent="0.25">
      <c r="B100" s="758"/>
      <c r="D100" s="183">
        <v>2</v>
      </c>
      <c r="E100" s="236">
        <f t="shared" ref="E100:O100" si="15">E21*E45</f>
        <v>0</v>
      </c>
      <c r="F100" s="237">
        <f t="shared" si="15"/>
        <v>0</v>
      </c>
      <c r="G100" s="237">
        <f t="shared" si="15"/>
        <v>1.98913867989679E-3</v>
      </c>
      <c r="H100" s="237">
        <f t="shared" si="15"/>
        <v>1.6019812567417659E-2</v>
      </c>
      <c r="I100" s="237">
        <f t="shared" si="15"/>
        <v>1.4513445454851501E-3</v>
      </c>
      <c r="J100" s="237">
        <f t="shared" si="15"/>
        <v>2.0969244301109399E-3</v>
      </c>
      <c r="K100" s="237">
        <f t="shared" si="15"/>
        <v>2.3348112682061799E-3</v>
      </c>
      <c r="L100" s="237">
        <f t="shared" si="15"/>
        <v>0</v>
      </c>
      <c r="M100" s="237">
        <f t="shared" si="15"/>
        <v>0</v>
      </c>
      <c r="N100" s="237">
        <f t="shared" si="15"/>
        <v>0</v>
      </c>
      <c r="O100" s="238">
        <f t="shared" si="15"/>
        <v>0</v>
      </c>
    </row>
    <row r="101" spans="2:17" ht="16" thickBot="1" x14ac:dyDescent="0.25">
      <c r="B101" s="758"/>
      <c r="D101" s="183">
        <v>2.5</v>
      </c>
      <c r="E101" s="236">
        <f t="shared" ref="E101:O101" si="16">E22*E46</f>
        <v>0</v>
      </c>
      <c r="F101" s="237">
        <f t="shared" si="16"/>
        <v>0</v>
      </c>
      <c r="G101" s="237">
        <f t="shared" si="16"/>
        <v>1.87533676159309E-3</v>
      </c>
      <c r="H101" s="237">
        <f t="shared" si="16"/>
        <v>9.7734100627427083E-3</v>
      </c>
      <c r="I101" s="237">
        <f t="shared" si="16"/>
        <v>6.1578308919677405E-3</v>
      </c>
      <c r="J101" s="237">
        <f t="shared" si="16"/>
        <v>7.5000249490687204E-2</v>
      </c>
      <c r="K101" s="237">
        <f t="shared" si="16"/>
        <v>1.678801573137801E-2</v>
      </c>
      <c r="L101" s="237">
        <f t="shared" si="16"/>
        <v>0</v>
      </c>
      <c r="M101" s="237">
        <f t="shared" si="16"/>
        <v>6.6732336571084802E-3</v>
      </c>
      <c r="N101" s="237">
        <f t="shared" si="16"/>
        <v>0</v>
      </c>
      <c r="O101" s="238">
        <f t="shared" si="16"/>
        <v>0</v>
      </c>
      <c r="P101" s="222" t="s">
        <v>613</v>
      </c>
      <c r="Q101" s="223" t="s">
        <v>614</v>
      </c>
    </row>
    <row r="102" spans="2:17" ht="16" thickBot="1" x14ac:dyDescent="0.25">
      <c r="B102" s="758"/>
      <c r="D102" s="184">
        <v>3</v>
      </c>
      <c r="E102" s="239">
        <f t="shared" ref="E102:O102" si="17">E23*E47</f>
        <v>0</v>
      </c>
      <c r="F102" s="240">
        <f t="shared" si="17"/>
        <v>0</v>
      </c>
      <c r="G102" s="240">
        <f t="shared" si="17"/>
        <v>0</v>
      </c>
      <c r="H102" s="240">
        <f t="shared" si="17"/>
        <v>3.4886391330583599E-3</v>
      </c>
      <c r="I102" s="240">
        <f t="shared" si="17"/>
        <v>3.5910846135508503E-3</v>
      </c>
      <c r="J102" s="240">
        <f t="shared" si="17"/>
        <v>3.2251555470869902E-3</v>
      </c>
      <c r="K102" s="240">
        <f t="shared" si="17"/>
        <v>4.87078624315508E-2</v>
      </c>
      <c r="L102" s="240">
        <f t="shared" si="17"/>
        <v>0</v>
      </c>
      <c r="M102" s="240">
        <f t="shared" si="17"/>
        <v>5.0343698431801502E-3</v>
      </c>
      <c r="N102" s="240">
        <f t="shared" si="17"/>
        <v>0</v>
      </c>
      <c r="O102" s="241">
        <f t="shared" si="17"/>
        <v>0</v>
      </c>
      <c r="P102" s="244">
        <f>SUM(E94:O102)</f>
        <v>0.28122010275448189</v>
      </c>
      <c r="Q102" s="452">
        <f>P102*8760</f>
        <v>2463.4881001292615</v>
      </c>
    </row>
    <row r="103" spans="2:17" ht="16" thickBot="1" x14ac:dyDescent="0.25">
      <c r="B103" s="758"/>
    </row>
    <row r="104" spans="2:17" x14ac:dyDescent="0.2">
      <c r="B104" s="758"/>
      <c r="D104" s="906" t="s">
        <v>612</v>
      </c>
      <c r="E104" s="907"/>
      <c r="F104" s="907"/>
      <c r="G104" s="907"/>
      <c r="H104" s="907"/>
      <c r="I104" s="907"/>
      <c r="J104" s="907"/>
      <c r="K104" s="907"/>
      <c r="L104" s="907"/>
      <c r="M104" s="907"/>
      <c r="N104" s="907"/>
      <c r="O104" s="908"/>
    </row>
    <row r="105" spans="2:17" ht="16" thickBot="1" x14ac:dyDescent="0.25">
      <c r="B105" s="758"/>
      <c r="D105" s="182" t="s">
        <v>609</v>
      </c>
      <c r="E105" s="185">
        <v>4</v>
      </c>
      <c r="F105" s="185">
        <v>5</v>
      </c>
      <c r="G105" s="185">
        <v>6</v>
      </c>
      <c r="H105" s="185">
        <v>7</v>
      </c>
      <c r="I105" s="185">
        <v>8</v>
      </c>
      <c r="J105" s="185">
        <v>10</v>
      </c>
      <c r="K105" s="185">
        <v>11</v>
      </c>
      <c r="L105" s="185">
        <v>12</v>
      </c>
      <c r="M105" s="185">
        <v>14</v>
      </c>
      <c r="N105" s="185">
        <v>16</v>
      </c>
      <c r="O105" s="186">
        <v>18</v>
      </c>
    </row>
    <row r="106" spans="2:17" x14ac:dyDescent="0.2">
      <c r="B106" s="758"/>
      <c r="D106" s="183">
        <v>0.38</v>
      </c>
      <c r="E106" s="233">
        <f>E15*E51</f>
        <v>0</v>
      </c>
      <c r="F106" s="234">
        <f t="shared" ref="F106:O106" si="18">F15*F51</f>
        <v>0</v>
      </c>
      <c r="G106" s="234">
        <f t="shared" si="18"/>
        <v>0</v>
      </c>
      <c r="H106" s="234">
        <f t="shared" si="18"/>
        <v>0</v>
      </c>
      <c r="I106" s="234">
        <f t="shared" si="18"/>
        <v>0</v>
      </c>
      <c r="J106" s="234">
        <f t="shared" si="18"/>
        <v>0</v>
      </c>
      <c r="K106" s="234">
        <f t="shared" si="18"/>
        <v>0</v>
      </c>
      <c r="L106" s="234">
        <f t="shared" si="18"/>
        <v>0</v>
      </c>
      <c r="M106" s="234">
        <f t="shared" si="18"/>
        <v>0</v>
      </c>
      <c r="N106" s="234">
        <f t="shared" si="18"/>
        <v>0</v>
      </c>
      <c r="O106" s="235">
        <f t="shared" si="18"/>
        <v>0</v>
      </c>
    </row>
    <row r="107" spans="2:17" x14ac:dyDescent="0.2">
      <c r="B107" s="758"/>
      <c r="D107" s="183">
        <v>0.66</v>
      </c>
      <c r="E107" s="236">
        <f t="shared" ref="E107:O107" si="19">E16*E52</f>
        <v>1.5538294059629901E-4</v>
      </c>
      <c r="F107" s="237">
        <f t="shared" si="19"/>
        <v>1.8501081506600069E-4</v>
      </c>
      <c r="G107" s="237">
        <f t="shared" si="19"/>
        <v>2.2720342370813302E-4</v>
      </c>
      <c r="H107" s="237">
        <f t="shared" si="19"/>
        <v>0</v>
      </c>
      <c r="I107" s="237">
        <f t="shared" si="19"/>
        <v>0</v>
      </c>
      <c r="J107" s="237">
        <f t="shared" si="19"/>
        <v>0</v>
      </c>
      <c r="K107" s="237">
        <f t="shared" si="19"/>
        <v>0</v>
      </c>
      <c r="L107" s="237">
        <f t="shared" si="19"/>
        <v>0</v>
      </c>
      <c r="M107" s="237">
        <f t="shared" si="19"/>
        <v>0</v>
      </c>
      <c r="N107" s="237">
        <f t="shared" si="19"/>
        <v>0</v>
      </c>
      <c r="O107" s="238">
        <f t="shared" si="19"/>
        <v>0</v>
      </c>
    </row>
    <row r="108" spans="2:17" x14ac:dyDescent="0.2">
      <c r="B108" s="758"/>
      <c r="D108" s="183">
        <v>0.96</v>
      </c>
      <c r="E108" s="236">
        <f t="shared" ref="E108:O108" si="20">E17*E53</f>
        <v>1.3677049242051659E-3</v>
      </c>
      <c r="F108" s="237">
        <f t="shared" si="20"/>
        <v>9.9864851224152804E-4</v>
      </c>
      <c r="G108" s="237">
        <f t="shared" si="20"/>
        <v>3.9739831335037501E-3</v>
      </c>
      <c r="H108" s="237">
        <f t="shared" si="20"/>
        <v>1.2071035075184001E-3</v>
      </c>
      <c r="I108" s="237">
        <f t="shared" si="20"/>
        <v>0</v>
      </c>
      <c r="J108" s="237">
        <f t="shared" si="20"/>
        <v>0</v>
      </c>
      <c r="K108" s="237">
        <f t="shared" si="20"/>
        <v>0</v>
      </c>
      <c r="L108" s="237">
        <f t="shared" si="20"/>
        <v>0</v>
      </c>
      <c r="M108" s="237">
        <f t="shared" si="20"/>
        <v>0</v>
      </c>
      <c r="N108" s="237">
        <f t="shared" si="20"/>
        <v>0</v>
      </c>
      <c r="O108" s="238">
        <f t="shared" si="20"/>
        <v>0</v>
      </c>
    </row>
    <row r="109" spans="2:17" x14ac:dyDescent="0.2">
      <c r="B109" s="758"/>
      <c r="D109" s="183">
        <v>1.25</v>
      </c>
      <c r="E109" s="236">
        <f t="shared" ref="E109:O109" si="21">E18*E54</f>
        <v>1.1243535909296698E-3</v>
      </c>
      <c r="F109" s="237">
        <f t="shared" si="21"/>
        <v>4.6014033699754396E-3</v>
      </c>
      <c r="G109" s="237">
        <f t="shared" si="21"/>
        <v>4.63360410336369E-4</v>
      </c>
      <c r="H109" s="237">
        <f t="shared" si="21"/>
        <v>5.8933418861820998E-4</v>
      </c>
      <c r="I109" s="237">
        <f t="shared" si="21"/>
        <v>8.5344294522810102E-4</v>
      </c>
      <c r="J109" s="237">
        <f t="shared" si="21"/>
        <v>0</v>
      </c>
      <c r="K109" s="237">
        <f t="shared" si="21"/>
        <v>0</v>
      </c>
      <c r="L109" s="237">
        <f t="shared" si="21"/>
        <v>0</v>
      </c>
      <c r="M109" s="237">
        <f t="shared" si="21"/>
        <v>0</v>
      </c>
      <c r="N109" s="237">
        <f t="shared" si="21"/>
        <v>0</v>
      </c>
      <c r="O109" s="238">
        <f t="shared" si="21"/>
        <v>0</v>
      </c>
    </row>
    <row r="110" spans="2:17" x14ac:dyDescent="0.2">
      <c r="B110" s="758"/>
      <c r="D110" s="183">
        <v>1.5</v>
      </c>
      <c r="E110" s="236">
        <f t="shared" ref="E110:O110" si="22">E19*E55</f>
        <v>1.1974802830695031E-3</v>
      </c>
      <c r="F110" s="237">
        <f t="shared" si="22"/>
        <v>2.1779046394859399E-3</v>
      </c>
      <c r="G110" s="237">
        <f t="shared" si="22"/>
        <v>3.8122985394359798E-3</v>
      </c>
      <c r="H110" s="237">
        <f t="shared" si="22"/>
        <v>4.6214564342009201E-4</v>
      </c>
      <c r="I110" s="237">
        <f t="shared" si="22"/>
        <v>6.9490624414732098E-4</v>
      </c>
      <c r="J110" s="237">
        <f t="shared" si="22"/>
        <v>0</v>
      </c>
      <c r="K110" s="237">
        <f t="shared" si="22"/>
        <v>0</v>
      </c>
      <c r="L110" s="237">
        <f t="shared" si="22"/>
        <v>0</v>
      </c>
      <c r="M110" s="237">
        <f t="shared" si="22"/>
        <v>0</v>
      </c>
      <c r="N110" s="237">
        <f t="shared" si="22"/>
        <v>0</v>
      </c>
      <c r="O110" s="238">
        <f t="shared" si="22"/>
        <v>0</v>
      </c>
    </row>
    <row r="111" spans="2:17" x14ac:dyDescent="0.2">
      <c r="B111" s="758"/>
      <c r="D111" s="183">
        <v>1.75</v>
      </c>
      <c r="E111" s="236">
        <f t="shared" ref="E111:O111" si="23">E20*E56</f>
        <v>4.8221634979535999E-4</v>
      </c>
      <c r="F111" s="237">
        <f t="shared" si="23"/>
        <v>6.1973486136679004E-3</v>
      </c>
      <c r="G111" s="237">
        <f t="shared" si="23"/>
        <v>2.2736697323117402E-3</v>
      </c>
      <c r="H111" s="237">
        <f t="shared" si="23"/>
        <v>1.6800600563247302E-3</v>
      </c>
      <c r="I111" s="237">
        <f t="shared" si="23"/>
        <v>2.2806230149558199E-3</v>
      </c>
      <c r="J111" s="237">
        <f t="shared" si="23"/>
        <v>0</v>
      </c>
      <c r="K111" s="237">
        <f t="shared" si="23"/>
        <v>0</v>
      </c>
      <c r="L111" s="237">
        <f t="shared" si="23"/>
        <v>0</v>
      </c>
      <c r="M111" s="237">
        <f t="shared" si="23"/>
        <v>0</v>
      </c>
      <c r="N111" s="237">
        <f t="shared" si="23"/>
        <v>0</v>
      </c>
      <c r="O111" s="238">
        <f t="shared" si="23"/>
        <v>0</v>
      </c>
    </row>
    <row r="112" spans="2:17" ht="16" thickBot="1" x14ac:dyDescent="0.25">
      <c r="B112" s="758"/>
      <c r="D112" s="183">
        <v>2</v>
      </c>
      <c r="E112" s="236">
        <f t="shared" ref="E112:O112" si="24">E21*E57</f>
        <v>0</v>
      </c>
      <c r="F112" s="237">
        <f t="shared" si="24"/>
        <v>2.211461179821966E-3</v>
      </c>
      <c r="G112" s="237">
        <f t="shared" si="24"/>
        <v>5.9674160396903696E-3</v>
      </c>
      <c r="H112" s="237">
        <f t="shared" si="24"/>
        <v>1.6019812567417659E-2</v>
      </c>
      <c r="I112" s="237">
        <f t="shared" si="24"/>
        <v>1.4513445454851501E-3</v>
      </c>
      <c r="J112" s="237">
        <f t="shared" si="24"/>
        <v>0</v>
      </c>
      <c r="K112" s="237">
        <f t="shared" si="24"/>
        <v>0</v>
      </c>
      <c r="L112" s="237">
        <f t="shared" si="24"/>
        <v>0</v>
      </c>
      <c r="M112" s="237">
        <f t="shared" si="24"/>
        <v>0</v>
      </c>
      <c r="N112" s="237">
        <f t="shared" si="24"/>
        <v>0</v>
      </c>
      <c r="O112" s="238">
        <f t="shared" si="24"/>
        <v>0</v>
      </c>
    </row>
    <row r="113" spans="2:17" ht="16" thickBot="1" x14ac:dyDescent="0.25">
      <c r="B113" s="758"/>
      <c r="D113" s="183">
        <v>2.5</v>
      </c>
      <c r="E113" s="236">
        <f t="shared" ref="E113:O113" si="25">E22*E58</f>
        <v>0</v>
      </c>
      <c r="F113" s="237">
        <f t="shared" si="25"/>
        <v>2.393934013716574E-2</v>
      </c>
      <c r="G113" s="237">
        <f t="shared" si="25"/>
        <v>9.37668380796545E-3</v>
      </c>
      <c r="H113" s="237">
        <f t="shared" si="25"/>
        <v>6.5156067084951395E-3</v>
      </c>
      <c r="I113" s="237">
        <f t="shared" si="25"/>
        <v>6.1578308919677405E-3</v>
      </c>
      <c r="J113" s="237">
        <f t="shared" si="25"/>
        <v>2.5000083163562403E-2</v>
      </c>
      <c r="K113" s="237">
        <f t="shared" si="25"/>
        <v>0</v>
      </c>
      <c r="L113" s="237">
        <f t="shared" si="25"/>
        <v>0</v>
      </c>
      <c r="M113" s="237">
        <f t="shared" si="25"/>
        <v>0</v>
      </c>
      <c r="N113" s="237">
        <f t="shared" si="25"/>
        <v>0</v>
      </c>
      <c r="O113" s="238">
        <f t="shared" si="25"/>
        <v>0</v>
      </c>
      <c r="P113" s="222" t="s">
        <v>613</v>
      </c>
      <c r="Q113" s="223" t="s">
        <v>614</v>
      </c>
    </row>
    <row r="114" spans="2:17" ht="16" thickBot="1" x14ac:dyDescent="0.25">
      <c r="B114" s="759"/>
      <c r="D114" s="184">
        <v>3</v>
      </c>
      <c r="E114" s="239">
        <f t="shared" ref="E114:O114" si="26">E23*E59</f>
        <v>0</v>
      </c>
      <c r="F114" s="240">
        <f t="shared" si="26"/>
        <v>3.9491720400267596E-3</v>
      </c>
      <c r="G114" s="240">
        <f t="shared" si="26"/>
        <v>2.1917514120174651E-2</v>
      </c>
      <c r="H114" s="240">
        <f t="shared" si="26"/>
        <v>6.9772782661167198E-3</v>
      </c>
      <c r="I114" s="240">
        <f t="shared" si="26"/>
        <v>3.5910846135508503E-3</v>
      </c>
      <c r="J114" s="240">
        <f t="shared" si="26"/>
        <v>3.2251555470869902E-3</v>
      </c>
      <c r="K114" s="240">
        <f t="shared" si="26"/>
        <v>0</v>
      </c>
      <c r="L114" s="240">
        <f t="shared" si="26"/>
        <v>0</v>
      </c>
      <c r="M114" s="240">
        <f t="shared" si="26"/>
        <v>0</v>
      </c>
      <c r="N114" s="240">
        <f t="shared" si="26"/>
        <v>0</v>
      </c>
      <c r="O114" s="241">
        <f t="shared" si="26"/>
        <v>0</v>
      </c>
      <c r="P114" s="244">
        <f>SUM(E106:O114)</f>
        <v>0.17330536850706904</v>
      </c>
      <c r="Q114" s="452">
        <f>P114*8760</f>
        <v>1518.1550281219247</v>
      </c>
    </row>
    <row r="115" spans="2:17" x14ac:dyDescent="0.2">
      <c r="B115" s="12"/>
    </row>
    <row r="116" spans="2:17" x14ac:dyDescent="0.2">
      <c r="B116" s="12"/>
    </row>
    <row r="117" spans="2:17" ht="16" thickBot="1" x14ac:dyDescent="0.25">
      <c r="B117" s="12"/>
    </row>
    <row r="118" spans="2:17" ht="19" x14ac:dyDescent="0.2">
      <c r="B118" s="757" t="s">
        <v>26</v>
      </c>
      <c r="D118" s="831" t="s">
        <v>941</v>
      </c>
      <c r="E118" s="832"/>
      <c r="F118" s="833"/>
      <c r="G118" s="169"/>
      <c r="H118" s="831" t="s">
        <v>942</v>
      </c>
      <c r="I118" s="832"/>
      <c r="J118" s="832"/>
      <c r="K118" s="833"/>
      <c r="M118" s="831" t="s">
        <v>604</v>
      </c>
      <c r="N118" s="832"/>
      <c r="O118" s="833"/>
      <c r="Q118" s="169"/>
    </row>
    <row r="119" spans="2:17" ht="20" thickBot="1" x14ac:dyDescent="0.3">
      <c r="B119" s="758"/>
      <c r="D119" s="928" t="s">
        <v>945</v>
      </c>
      <c r="E119" s="929"/>
      <c r="F119" s="930"/>
      <c r="G119" s="449"/>
      <c r="H119" s="928" t="s">
        <v>945</v>
      </c>
      <c r="I119" s="929"/>
      <c r="J119" s="929"/>
      <c r="K119" s="930"/>
      <c r="M119" s="928" t="s">
        <v>947</v>
      </c>
      <c r="N119" s="929"/>
      <c r="O119" s="930"/>
    </row>
    <row r="120" spans="2:17" ht="19" customHeight="1" x14ac:dyDescent="0.2">
      <c r="B120" s="758"/>
      <c r="D120" s="939" t="s">
        <v>598</v>
      </c>
      <c r="E120" s="940"/>
      <c r="F120" s="476" t="s">
        <v>599</v>
      </c>
      <c r="H120" s="911" t="s">
        <v>62</v>
      </c>
      <c r="I120" s="912"/>
      <c r="J120" s="912"/>
      <c r="K120" s="476" t="s">
        <v>599</v>
      </c>
      <c r="M120" s="911" t="s">
        <v>607</v>
      </c>
      <c r="N120" s="912"/>
      <c r="O120" s="477" t="s">
        <v>606</v>
      </c>
    </row>
    <row r="121" spans="2:17" ht="19" customHeight="1" x14ac:dyDescent="0.2">
      <c r="B121" s="758"/>
      <c r="D121" s="937" t="s">
        <v>14</v>
      </c>
      <c r="E121" s="938"/>
      <c r="F121" s="512">
        <f>Q90/1000</f>
        <v>1.0432863256878289</v>
      </c>
      <c r="H121" s="839" t="s">
        <v>923</v>
      </c>
      <c r="I121" s="840"/>
      <c r="J121" s="840"/>
      <c r="K121" s="512">
        <f>Q90/1000*F6</f>
        <v>810.63347505944307</v>
      </c>
      <c r="M121" s="909" t="s">
        <v>946</v>
      </c>
      <c r="N121" s="910"/>
      <c r="O121" s="515">
        <v>432</v>
      </c>
    </row>
    <row r="122" spans="2:17" ht="20" customHeight="1" thickBot="1" x14ac:dyDescent="0.25">
      <c r="B122" s="758"/>
      <c r="D122" s="935" t="s">
        <v>20</v>
      </c>
      <c r="E122" s="936"/>
      <c r="F122" s="513">
        <f>Q102/1000</f>
        <v>2.4634881001292617</v>
      </c>
      <c r="H122" s="841" t="s">
        <v>924</v>
      </c>
      <c r="I122" s="842"/>
      <c r="J122" s="842"/>
      <c r="K122" s="513">
        <f>Q102/1000*F7</f>
        <v>810.48758494252706</v>
      </c>
      <c r="M122" s="931" t="s">
        <v>185</v>
      </c>
      <c r="N122" s="932"/>
      <c r="O122" s="516">
        <v>810</v>
      </c>
    </row>
    <row r="123" spans="2:17" ht="20" customHeight="1" thickBot="1" x14ac:dyDescent="0.3">
      <c r="B123" s="759"/>
      <c r="D123" s="933" t="s">
        <v>15</v>
      </c>
      <c r="E123" s="934"/>
      <c r="F123" s="514">
        <f>Q114/1000</f>
        <v>1.5181550281219247</v>
      </c>
      <c r="H123" s="839" t="s">
        <v>926</v>
      </c>
      <c r="I123" s="840"/>
      <c r="J123" s="840"/>
      <c r="K123" s="513">
        <f>Q114/1000*F8</f>
        <v>810.69478501710785</v>
      </c>
      <c r="M123" s="90"/>
      <c r="N123" s="90"/>
    </row>
    <row r="124" spans="2:17" ht="19" x14ac:dyDescent="0.2">
      <c r="B124" s="12"/>
      <c r="H124" s="839" t="s">
        <v>927</v>
      </c>
      <c r="I124" s="840"/>
      <c r="J124" s="840"/>
      <c r="K124" s="512">
        <f>Q90/1000*F9</f>
        <v>432.96382516044901</v>
      </c>
    </row>
    <row r="125" spans="2:17" ht="20" customHeight="1" x14ac:dyDescent="0.2">
      <c r="B125" s="12"/>
      <c r="H125" s="841" t="s">
        <v>929</v>
      </c>
      <c r="I125" s="842"/>
      <c r="J125" s="842"/>
      <c r="K125" s="513">
        <f>Q102/1000*F10</f>
        <v>433.57390562275003</v>
      </c>
    </row>
    <row r="126" spans="2:17" ht="20" thickBot="1" x14ac:dyDescent="0.25">
      <c r="B126" s="12"/>
      <c r="H126" s="820" t="s">
        <v>930</v>
      </c>
      <c r="I126" s="821"/>
      <c r="J126" s="821"/>
      <c r="K126" s="514">
        <f>Q114/1000*F11</f>
        <v>432.67418301474856</v>
      </c>
    </row>
    <row r="127" spans="2:17" ht="19" customHeight="1" x14ac:dyDescent="0.2">
      <c r="I127" s="169"/>
      <c r="J127" s="169"/>
      <c r="K127" s="169"/>
      <c r="L127" s="169"/>
    </row>
    <row r="128" spans="2:17" ht="15" customHeight="1" x14ac:dyDescent="0.2">
      <c r="I128" s="169"/>
      <c r="J128" s="169"/>
      <c r="K128" s="169"/>
      <c r="L128" s="169"/>
    </row>
    <row r="129" spans="11:12" ht="15" customHeight="1" x14ac:dyDescent="0.2">
      <c r="K129" s="169"/>
      <c r="L129" s="169"/>
    </row>
  </sheetData>
  <sheetProtection algorithmName="SHA-512" hashValue="2uK6VYDs8aEyV9ibWUOjhXAmIo7w/o5R+5uwtmG8iKrZePTElSQoleM/P0Nnds4LQKo+jxomN5CYP3eLBTlWNg==" saltValue="HSH7OV+gA5shig7W+pP4YQ==" spinCount="100000" sheet="1" objects="1" scenarios="1"/>
  <mergeCells count="41">
    <mergeCell ref="D118:F118"/>
    <mergeCell ref="D119:F119"/>
    <mergeCell ref="H126:J126"/>
    <mergeCell ref="H119:K119"/>
    <mergeCell ref="M122:N122"/>
    <mergeCell ref="M119:O119"/>
    <mergeCell ref="D123:E123"/>
    <mergeCell ref="D122:E122"/>
    <mergeCell ref="D121:E121"/>
    <mergeCell ref="D120:E120"/>
    <mergeCell ref="M120:N120"/>
    <mergeCell ref="H124:J124"/>
    <mergeCell ref="H125:J125"/>
    <mergeCell ref="B3:B59"/>
    <mergeCell ref="D5:E5"/>
    <mergeCell ref="D13:O13"/>
    <mergeCell ref="D25:O25"/>
    <mergeCell ref="D104:O104"/>
    <mergeCell ref="D92:O92"/>
    <mergeCell ref="D4:E4"/>
    <mergeCell ref="D11:E11"/>
    <mergeCell ref="D37:O37"/>
    <mergeCell ref="D49:O49"/>
    <mergeCell ref="D3:G3"/>
    <mergeCell ref="I3:M11"/>
    <mergeCell ref="B118:B123"/>
    <mergeCell ref="H123:J123"/>
    <mergeCell ref="D6:E6"/>
    <mergeCell ref="D7:E7"/>
    <mergeCell ref="D8:E8"/>
    <mergeCell ref="H121:J121"/>
    <mergeCell ref="B63:B114"/>
    <mergeCell ref="H122:J122"/>
    <mergeCell ref="H118:K118"/>
    <mergeCell ref="D80:O80"/>
    <mergeCell ref="F62:L78"/>
    <mergeCell ref="M121:N121"/>
    <mergeCell ref="M118:O118"/>
    <mergeCell ref="H120:J120"/>
    <mergeCell ref="D9:E9"/>
    <mergeCell ref="D10:E10"/>
  </mergeCells>
  <conditionalFormatting sqref="E15:O23">
    <cfRule type="colorScale" priority="5">
      <colorScale>
        <cfvo type="min"/>
        <cfvo type="max"/>
        <color theme="8" tint="0.79998168889431442"/>
        <color theme="8"/>
      </colorScale>
    </cfRule>
    <cfRule type="colorScale" priority="12">
      <colorScale>
        <cfvo type="min"/>
        <cfvo type="percentile" val="50"/>
        <cfvo type="max"/>
        <color rgb="FF63BE7B"/>
        <color rgb="FFFFEB84"/>
        <color rgb="FFF8696B"/>
      </colorScale>
    </cfRule>
  </conditionalFormatting>
  <conditionalFormatting sqref="E27:O35">
    <cfRule type="colorScale" priority="4">
      <colorScale>
        <cfvo type="min"/>
        <cfvo type="max"/>
        <color theme="8" tint="0.79998168889431442"/>
        <color theme="8"/>
      </colorScale>
    </cfRule>
    <cfRule type="colorScale" priority="11">
      <colorScale>
        <cfvo type="min"/>
        <cfvo type="percentile" val="50"/>
        <cfvo type="max"/>
        <color rgb="FF63BE7B"/>
        <color rgb="FFFFEB84"/>
        <color rgb="FFF8696B"/>
      </colorScale>
    </cfRule>
  </conditionalFormatting>
  <conditionalFormatting sqref="E39:O47">
    <cfRule type="colorScale" priority="3">
      <colorScale>
        <cfvo type="min"/>
        <cfvo type="max"/>
        <color theme="8" tint="0.79998168889431442"/>
        <color theme="8"/>
      </colorScale>
    </cfRule>
    <cfRule type="colorScale" priority="10">
      <colorScale>
        <cfvo type="min"/>
        <cfvo type="percentile" val="50"/>
        <cfvo type="max"/>
        <color rgb="FF63BE7B"/>
        <color rgb="FFFFEB84"/>
        <color rgb="FFF8696B"/>
      </colorScale>
    </cfRule>
  </conditionalFormatting>
  <conditionalFormatting sqref="E51:O59">
    <cfRule type="colorScale" priority="2">
      <colorScale>
        <cfvo type="min"/>
        <cfvo type="max"/>
        <color theme="8" tint="0.79998168889431442"/>
        <color theme="8"/>
      </colorScale>
    </cfRule>
    <cfRule type="colorScale" priority="9">
      <colorScale>
        <cfvo type="min"/>
        <cfvo type="percentile" val="50"/>
        <cfvo type="max"/>
        <color rgb="FF63BE7B"/>
        <color rgb="FFFFEB84"/>
        <color rgb="FFF8696B"/>
      </colorScale>
    </cfRule>
  </conditionalFormatting>
  <conditionalFormatting sqref="G6:G11">
    <cfRule type="containsText" dxfId="0" priority="1" operator="containsText" text="NO">
      <formula>NOT(ISERROR(SEARCH("NO",G6)))</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289A-5E9E-8C4A-9E87-FAF21178ED8E}">
  <sheetPr>
    <outlinePr summaryBelow="0"/>
  </sheetPr>
  <dimension ref="B1:V415"/>
  <sheetViews>
    <sheetView zoomScaleNormal="100" workbookViewId="0">
      <selection activeCell="F251" sqref="F251"/>
    </sheetView>
  </sheetViews>
  <sheetFormatPr baseColWidth="10" defaultRowHeight="15" outlineLevelRow="5" x14ac:dyDescent="0.2"/>
  <cols>
    <col min="1" max="1" width="5.83203125" style="1" customWidth="1"/>
    <col min="2" max="2" width="8.83203125" style="1" customWidth="1"/>
    <col min="3" max="3" width="5.6640625" style="1" customWidth="1"/>
    <col min="4" max="4" width="12.33203125" style="1" bestFit="1" customWidth="1"/>
    <col min="5" max="5" width="12" style="1" customWidth="1"/>
    <col min="6" max="6" width="11.5" style="1" customWidth="1"/>
    <col min="7" max="7" width="12.33203125" style="1" customWidth="1"/>
    <col min="8" max="8" width="13.83203125" style="1" customWidth="1"/>
    <col min="9" max="9" width="22" style="1" customWidth="1"/>
    <col min="10" max="10" width="25.33203125" style="1" bestFit="1" customWidth="1"/>
    <col min="11" max="11" width="27.6640625" style="1" customWidth="1"/>
    <col min="12" max="12" width="38.33203125" style="1" bestFit="1" customWidth="1"/>
    <col min="13" max="13" width="70.83203125" style="1" customWidth="1"/>
    <col min="14" max="14" width="34" style="1" customWidth="1"/>
    <col min="15" max="15" width="10.83203125" style="1"/>
    <col min="16" max="16" width="23.1640625" style="1" customWidth="1"/>
    <col min="17" max="17" width="24.83203125" style="1" customWidth="1"/>
    <col min="18" max="18" width="15.6640625" style="1" customWidth="1"/>
    <col min="19" max="19" width="12.33203125" style="1" customWidth="1"/>
    <col min="20" max="20" width="11.6640625" style="1" customWidth="1"/>
    <col min="21" max="16384" width="10.83203125" style="1"/>
  </cols>
  <sheetData>
    <row r="1" spans="2:19" ht="16" thickBot="1" x14ac:dyDescent="0.25"/>
    <row r="2" spans="2:19" ht="20" thickBot="1" x14ac:dyDescent="0.3">
      <c r="B2" s="757" t="s">
        <v>25</v>
      </c>
      <c r="D2" s="848" t="s">
        <v>920</v>
      </c>
      <c r="E2" s="878"/>
      <c r="F2" s="878"/>
      <c r="G2" s="878"/>
      <c r="H2" s="878"/>
      <c r="I2" s="849"/>
    </row>
    <row r="3" spans="2:19" ht="33" customHeight="1" thickBot="1" x14ac:dyDescent="0.3">
      <c r="B3" s="758"/>
      <c r="D3" s="973" t="s">
        <v>62</v>
      </c>
      <c r="E3" s="974"/>
      <c r="F3" s="345" t="s">
        <v>900</v>
      </c>
      <c r="G3" s="345" t="s">
        <v>912</v>
      </c>
      <c r="H3" s="345" t="s">
        <v>951</v>
      </c>
      <c r="I3" s="301" t="s">
        <v>28</v>
      </c>
      <c r="K3" s="760" t="s">
        <v>544</v>
      </c>
      <c r="L3" s="762"/>
      <c r="M3" s="493"/>
      <c r="Q3" s="449"/>
      <c r="R3" s="449"/>
      <c r="S3" s="449"/>
    </row>
    <row r="4" spans="2:19" ht="18" thickBot="1" x14ac:dyDescent="0.25">
      <c r="B4" s="758"/>
      <c r="D4" s="980" t="s">
        <v>922</v>
      </c>
      <c r="E4" s="981"/>
      <c r="F4" s="659">
        <v>1</v>
      </c>
      <c r="G4" s="659">
        <v>1</v>
      </c>
      <c r="H4" s="527" cm="1">
        <f t="array" ref="H4">_xlfn.IFS(G4=1,H15,G4=2,H16)</f>
        <v>113760</v>
      </c>
      <c r="I4" s="526" t="s">
        <v>889</v>
      </c>
      <c r="K4" s="445" t="s">
        <v>19</v>
      </c>
      <c r="L4" s="522" t="s">
        <v>17</v>
      </c>
      <c r="S4" s="94"/>
    </row>
    <row r="5" spans="2:19" ht="32" x14ac:dyDescent="0.2">
      <c r="B5" s="758"/>
      <c r="D5" s="951" t="s">
        <v>927</v>
      </c>
      <c r="E5" s="952"/>
      <c r="F5" s="660">
        <v>1</v>
      </c>
      <c r="G5" s="612">
        <v>1</v>
      </c>
      <c r="H5" s="523" cm="1">
        <f t="array" ref="H5">_xlfn.IFS(G5=1,H15,G5=2,H16)</f>
        <v>113760</v>
      </c>
      <c r="I5" s="518" t="s">
        <v>889</v>
      </c>
      <c r="K5" s="525" t="s">
        <v>571</v>
      </c>
      <c r="L5" s="557" t="s">
        <v>950</v>
      </c>
      <c r="S5" s="69"/>
    </row>
    <row r="6" spans="2:19" ht="24" customHeight="1" thickBot="1" x14ac:dyDescent="0.25">
      <c r="B6" s="758"/>
      <c r="D6" s="951" t="s">
        <v>929</v>
      </c>
      <c r="E6" s="952"/>
      <c r="F6" s="612">
        <v>1</v>
      </c>
      <c r="G6" s="612">
        <v>1</v>
      </c>
      <c r="H6" s="523" cm="1">
        <f t="array" ref="H6">_xlfn.IFS(G6=1,$H$15,G6=2,$H$16)</f>
        <v>113760</v>
      </c>
      <c r="I6" s="518" t="s">
        <v>889</v>
      </c>
      <c r="K6" s="558" t="s">
        <v>545</v>
      </c>
      <c r="L6" s="571">
        <f>95+505+111+2251</f>
        <v>2962</v>
      </c>
      <c r="S6" s="69"/>
    </row>
    <row r="7" spans="2:19" ht="34" customHeight="1" x14ac:dyDescent="0.2">
      <c r="B7" s="758"/>
      <c r="D7" s="951" t="s">
        <v>930</v>
      </c>
      <c r="E7" s="952"/>
      <c r="F7" s="612">
        <v>1</v>
      </c>
      <c r="G7" s="612">
        <v>2</v>
      </c>
      <c r="H7" s="523" cm="1">
        <f t="array" ref="H7">_xlfn.IFS(G7=1,$H$15,G7=2,$H$16)</f>
        <v>115620</v>
      </c>
      <c r="I7" s="518" t="s">
        <v>890</v>
      </c>
      <c r="K7" s="38"/>
      <c r="L7" s="60"/>
      <c r="S7" s="69"/>
    </row>
    <row r="8" spans="2:19" ht="16" thickBot="1" x14ac:dyDescent="0.25">
      <c r="B8" s="758"/>
      <c r="D8" s="951" t="s">
        <v>923</v>
      </c>
      <c r="E8" s="952"/>
      <c r="F8" s="612">
        <v>2</v>
      </c>
      <c r="G8" s="612">
        <v>1</v>
      </c>
      <c r="H8" s="523" cm="1">
        <f t="array" ref="H8">_xlfn.IFS(G8=1,$H$15,G8=2,$H$16)</f>
        <v>113760</v>
      </c>
      <c r="I8" s="518" t="s">
        <v>892</v>
      </c>
      <c r="R8" s="69"/>
      <c r="S8" s="69"/>
    </row>
    <row r="9" spans="2:19" ht="19" x14ac:dyDescent="0.2">
      <c r="B9" s="758"/>
      <c r="D9" s="951" t="s">
        <v>924</v>
      </c>
      <c r="E9" s="952"/>
      <c r="F9" s="612">
        <v>2</v>
      </c>
      <c r="G9" s="612">
        <v>1</v>
      </c>
      <c r="H9" s="523" cm="1">
        <f t="array" ref="H9">_xlfn.IFS(G9=1,$H$15,G9=2,$H$16)</f>
        <v>113760</v>
      </c>
      <c r="I9" s="518" t="s">
        <v>892</v>
      </c>
      <c r="K9" s="747" t="s">
        <v>626</v>
      </c>
      <c r="L9" s="748"/>
      <c r="M9" s="748"/>
      <c r="N9" s="749"/>
    </row>
    <row r="10" spans="2:19" ht="16" customHeight="1" thickBot="1" x14ac:dyDescent="0.25">
      <c r="B10" s="758"/>
      <c r="D10" s="953" t="s">
        <v>926</v>
      </c>
      <c r="E10" s="954"/>
      <c r="F10" s="613">
        <v>3</v>
      </c>
      <c r="G10" s="613">
        <v>1</v>
      </c>
      <c r="H10" s="524" cm="1">
        <f t="array" ref="H10">_xlfn.IFS(G10=1,$H$15,G10=2,$H$16)</f>
        <v>113760</v>
      </c>
      <c r="I10" s="517" t="s">
        <v>891</v>
      </c>
      <c r="J10" s="60"/>
      <c r="K10" s="975" t="s">
        <v>974</v>
      </c>
      <c r="L10" s="737"/>
      <c r="M10" s="737"/>
      <c r="N10" s="976"/>
    </row>
    <row r="11" spans="2:19" ht="35" customHeight="1" x14ac:dyDescent="0.2">
      <c r="B11" s="758"/>
      <c r="E11" s="92"/>
      <c r="F11" s="92"/>
      <c r="G11" s="92"/>
      <c r="H11" s="113"/>
      <c r="I11" s="60"/>
      <c r="J11" s="60"/>
      <c r="K11" s="975"/>
      <c r="L11" s="737"/>
      <c r="M11" s="737"/>
      <c r="N11" s="976"/>
    </row>
    <row r="12" spans="2:19" ht="33" customHeight="1" thickBot="1" x14ac:dyDescent="0.25">
      <c r="B12" s="758"/>
      <c r="I12" s="60"/>
      <c r="J12" s="60"/>
      <c r="K12" s="975"/>
      <c r="L12" s="737"/>
      <c r="M12" s="737"/>
      <c r="N12" s="976"/>
    </row>
    <row r="13" spans="2:19" ht="19" x14ac:dyDescent="0.25">
      <c r="B13" s="758"/>
      <c r="D13" s="848" t="s">
        <v>916</v>
      </c>
      <c r="E13" s="878"/>
      <c r="F13" s="878"/>
      <c r="G13" s="878"/>
      <c r="H13" s="849"/>
      <c r="I13" s="60"/>
      <c r="J13" s="60"/>
      <c r="K13" s="975"/>
      <c r="L13" s="737"/>
      <c r="M13" s="737"/>
      <c r="N13" s="976"/>
    </row>
    <row r="14" spans="2:19" ht="35" thickBot="1" x14ac:dyDescent="0.25">
      <c r="B14" s="758"/>
      <c r="D14" s="519" t="s">
        <v>912</v>
      </c>
      <c r="E14" s="366" t="s">
        <v>913</v>
      </c>
      <c r="F14" s="366" t="s">
        <v>914</v>
      </c>
      <c r="G14" s="366" t="s">
        <v>915</v>
      </c>
      <c r="H14" s="367" t="s">
        <v>188</v>
      </c>
      <c r="I14" s="60"/>
      <c r="J14" s="60"/>
      <c r="K14" s="975"/>
      <c r="L14" s="737"/>
      <c r="M14" s="737"/>
      <c r="N14" s="976"/>
    </row>
    <row r="15" spans="2:19" x14ac:dyDescent="0.2">
      <c r="B15" s="758"/>
      <c r="D15" s="520">
        <v>1</v>
      </c>
      <c r="E15" s="661">
        <v>160</v>
      </c>
      <c r="F15" s="661">
        <v>4</v>
      </c>
      <c r="G15" s="661">
        <v>6</v>
      </c>
      <c r="H15" s="662">
        <v>113760</v>
      </c>
      <c r="I15" s="60"/>
      <c r="J15" s="60"/>
      <c r="K15" s="975"/>
      <c r="L15" s="737"/>
      <c r="M15" s="737"/>
      <c r="N15" s="976"/>
    </row>
    <row r="16" spans="2:19" ht="16" thickBot="1" x14ac:dyDescent="0.25">
      <c r="B16" s="758"/>
      <c r="D16" s="521">
        <v>2</v>
      </c>
      <c r="E16" s="663">
        <v>160</v>
      </c>
      <c r="F16" s="663">
        <v>6</v>
      </c>
      <c r="G16" s="663">
        <v>6</v>
      </c>
      <c r="H16" s="664">
        <v>115620</v>
      </c>
      <c r="I16" s="60"/>
      <c r="J16" s="60"/>
      <c r="K16" s="977"/>
      <c r="L16" s="978"/>
      <c r="M16" s="978"/>
      <c r="N16" s="979"/>
    </row>
    <row r="17" spans="2:15" ht="16" thickBot="1" x14ac:dyDescent="0.25">
      <c r="B17" s="758"/>
    </row>
    <row r="18" spans="2:15" x14ac:dyDescent="0.2">
      <c r="B18" s="758"/>
      <c r="D18" s="760" t="s">
        <v>207</v>
      </c>
      <c r="E18" s="761"/>
      <c r="F18" s="761"/>
      <c r="G18" s="761"/>
      <c r="H18" s="761"/>
      <c r="I18" s="761"/>
      <c r="J18" s="761"/>
      <c r="K18" s="761"/>
      <c r="L18" s="761"/>
      <c r="M18" s="761"/>
      <c r="N18" s="762"/>
      <c r="O18" s="110"/>
    </row>
    <row r="19" spans="2:15" x14ac:dyDescent="0.2">
      <c r="B19" s="758"/>
      <c r="D19" s="812"/>
      <c r="E19" s="813"/>
      <c r="F19" s="813"/>
      <c r="G19" s="813"/>
      <c r="H19" s="813"/>
      <c r="I19" s="813"/>
      <c r="J19" s="813"/>
      <c r="K19" s="813"/>
      <c r="L19" s="813"/>
      <c r="M19" s="813"/>
      <c r="N19" s="814"/>
      <c r="O19" s="110"/>
    </row>
    <row r="20" spans="2:15" ht="18" thickBot="1" x14ac:dyDescent="0.25">
      <c r="B20" s="758"/>
      <c r="D20" s="763" t="s">
        <v>213</v>
      </c>
      <c r="E20" s="764"/>
      <c r="F20" s="764"/>
      <c r="G20" s="764"/>
      <c r="H20" s="764"/>
      <c r="I20" s="764"/>
      <c r="J20" s="764"/>
      <c r="K20" s="366" t="s">
        <v>212</v>
      </c>
      <c r="L20" s="366" t="s">
        <v>748</v>
      </c>
      <c r="M20" s="366" t="s">
        <v>28</v>
      </c>
      <c r="N20" s="367" t="s">
        <v>83</v>
      </c>
      <c r="O20" s="110"/>
    </row>
    <row r="21" spans="2:15" ht="17" x14ac:dyDescent="0.2">
      <c r="B21" s="758"/>
      <c r="D21" s="957" t="s">
        <v>214</v>
      </c>
      <c r="E21" s="958"/>
      <c r="F21" s="958"/>
      <c r="G21" s="958"/>
      <c r="H21" s="958"/>
      <c r="I21" s="958"/>
      <c r="J21" s="959"/>
      <c r="K21" s="401">
        <f>SUM(K22,K28,K225)</f>
        <v>3002729</v>
      </c>
      <c r="L21" s="404" t="s">
        <v>751</v>
      </c>
      <c r="M21" s="368"/>
      <c r="N21" s="413"/>
      <c r="O21" s="110"/>
    </row>
    <row r="22" spans="2:15" ht="16" outlineLevel="1" x14ac:dyDescent="0.2">
      <c r="B22" s="758"/>
      <c r="D22" s="259"/>
      <c r="E22" s="949" t="s">
        <v>546</v>
      </c>
      <c r="F22" s="949"/>
      <c r="G22" s="949"/>
      <c r="H22" s="949"/>
      <c r="I22" s="949"/>
      <c r="J22" s="950"/>
      <c r="K22" s="402">
        <f>SUM(K23:K25)</f>
        <v>120621</v>
      </c>
      <c r="L22" s="405" t="s">
        <v>752</v>
      </c>
      <c r="M22" s="307"/>
      <c r="N22" s="289" t="s">
        <v>749</v>
      </c>
      <c r="O22" s="110"/>
    </row>
    <row r="23" spans="2:15" ht="32" outlineLevel="2" x14ac:dyDescent="0.2">
      <c r="B23" s="758"/>
      <c r="D23" s="259"/>
      <c r="E23" s="28"/>
      <c r="F23" s="955" t="s">
        <v>547</v>
      </c>
      <c r="G23" s="955"/>
      <c r="H23" s="955"/>
      <c r="I23" s="955"/>
      <c r="J23" s="956"/>
      <c r="K23" s="402">
        <f>H4</f>
        <v>113760</v>
      </c>
      <c r="L23" s="406" t="s">
        <v>952</v>
      </c>
      <c r="M23" s="410" t="s">
        <v>801</v>
      </c>
      <c r="N23" s="283"/>
      <c r="O23" s="110"/>
    </row>
    <row r="24" spans="2:15" outlineLevel="2" x14ac:dyDescent="0.2">
      <c r="B24" s="758"/>
      <c r="D24" s="259"/>
      <c r="E24" s="28"/>
      <c r="F24" s="949" t="s">
        <v>577</v>
      </c>
      <c r="G24" s="949"/>
      <c r="H24" s="949"/>
      <c r="I24" s="949"/>
      <c r="J24" s="950"/>
      <c r="K24" s="665">
        <v>585</v>
      </c>
      <c r="L24" s="407"/>
      <c r="M24" s="411"/>
      <c r="N24" s="283"/>
      <c r="O24" s="110"/>
    </row>
    <row r="25" spans="2:15" ht="16" outlineLevel="2" collapsed="1" x14ac:dyDescent="0.2">
      <c r="B25" s="758"/>
      <c r="D25" s="259"/>
      <c r="E25" s="28"/>
      <c r="F25" s="949" t="s">
        <v>285</v>
      </c>
      <c r="G25" s="949"/>
      <c r="H25" s="949"/>
      <c r="I25" s="949"/>
      <c r="J25" s="950"/>
      <c r="K25" s="402">
        <f>SUM(K26:K27)</f>
        <v>6276</v>
      </c>
      <c r="L25" s="407" t="s">
        <v>753</v>
      </c>
      <c r="M25" s="411"/>
      <c r="N25" s="283"/>
      <c r="O25" s="110"/>
    </row>
    <row r="26" spans="2:15" ht="16" outlineLevel="2" x14ac:dyDescent="0.2">
      <c r="B26" s="758"/>
      <c r="D26" s="259"/>
      <c r="E26" s="28"/>
      <c r="F26" s="400"/>
      <c r="G26" s="955" t="s">
        <v>286</v>
      </c>
      <c r="H26" s="955"/>
      <c r="I26" s="955"/>
      <c r="J26" s="956"/>
      <c r="K26" s="665">
        <v>1276</v>
      </c>
      <c r="L26" s="408"/>
      <c r="M26" s="304" t="s">
        <v>648</v>
      </c>
      <c r="N26" s="289" t="s">
        <v>647</v>
      </c>
      <c r="O26" s="110"/>
    </row>
    <row r="27" spans="2:15" ht="16" outlineLevel="2" x14ac:dyDescent="0.2">
      <c r="B27" s="758"/>
      <c r="D27" s="259"/>
      <c r="E27" s="28"/>
      <c r="F27" s="400"/>
      <c r="G27" s="955" t="s">
        <v>287</v>
      </c>
      <c r="H27" s="955"/>
      <c r="I27" s="955"/>
      <c r="J27" s="956"/>
      <c r="K27" s="665">
        <v>5000</v>
      </c>
      <c r="L27" s="408"/>
      <c r="M27" s="304" t="s">
        <v>576</v>
      </c>
      <c r="N27" s="283"/>
      <c r="O27" s="110"/>
    </row>
    <row r="28" spans="2:15" s="89" customFormat="1" outlineLevel="1" x14ac:dyDescent="0.2">
      <c r="B28" s="758"/>
      <c r="D28" s="259"/>
      <c r="E28" s="941" t="s">
        <v>305</v>
      </c>
      <c r="F28" s="941"/>
      <c r="G28" s="941"/>
      <c r="H28" s="941"/>
      <c r="I28" s="941"/>
      <c r="J28" s="942"/>
      <c r="K28" s="402">
        <f>SUM(K29,K62,K73,K172,K173,K186,K218)</f>
        <v>2882108</v>
      </c>
      <c r="L28" s="278" t="s">
        <v>755</v>
      </c>
      <c r="M28" s="304"/>
      <c r="N28" s="280"/>
    </row>
    <row r="29" spans="2:15" s="89" customFormat="1" outlineLevel="2" x14ac:dyDescent="0.2">
      <c r="B29" s="758"/>
      <c r="D29" s="259"/>
      <c r="E29" s="152"/>
      <c r="F29" s="805" t="s">
        <v>306</v>
      </c>
      <c r="G29" s="805"/>
      <c r="H29" s="805"/>
      <c r="I29" s="805"/>
      <c r="J29" s="943"/>
      <c r="K29" s="402">
        <f>SUM(K30,K34,K37,K38,K41,K47,K51,K57)</f>
        <v>1916000</v>
      </c>
      <c r="L29" s="278" t="s">
        <v>756</v>
      </c>
      <c r="M29" s="304"/>
      <c r="N29" s="288"/>
    </row>
    <row r="30" spans="2:15" outlineLevel="3" x14ac:dyDescent="0.2">
      <c r="B30" s="758"/>
      <c r="D30" s="259"/>
      <c r="E30" s="152"/>
      <c r="F30" s="152"/>
      <c r="G30" s="805" t="s">
        <v>307</v>
      </c>
      <c r="H30" s="805"/>
      <c r="I30" s="805"/>
      <c r="J30" s="943"/>
      <c r="K30" s="402">
        <f>SUM(K31:K33)</f>
        <v>260000</v>
      </c>
      <c r="L30" s="278" t="s">
        <v>757</v>
      </c>
      <c r="M30" s="304"/>
      <c r="N30" s="280"/>
    </row>
    <row r="31" spans="2:15" ht="48" outlineLevel="4" x14ac:dyDescent="0.2">
      <c r="B31" s="758"/>
      <c r="D31" s="259"/>
      <c r="E31" s="152"/>
      <c r="F31" s="152"/>
      <c r="G31" s="152"/>
      <c r="H31" s="805" t="s">
        <v>308</v>
      </c>
      <c r="I31" s="805"/>
      <c r="J31" s="943"/>
      <c r="K31" s="665">
        <v>75000</v>
      </c>
      <c r="L31" s="260"/>
      <c r="M31" s="304" t="s">
        <v>650</v>
      </c>
      <c r="N31" s="280"/>
    </row>
    <row r="32" spans="2:15" ht="48" outlineLevel="4" x14ac:dyDescent="0.2">
      <c r="B32" s="758"/>
      <c r="D32" s="259"/>
      <c r="E32" s="152"/>
      <c r="F32" s="152"/>
      <c r="G32" s="152"/>
      <c r="H32" s="805" t="s">
        <v>309</v>
      </c>
      <c r="I32" s="805"/>
      <c r="J32" s="943"/>
      <c r="K32" s="665">
        <v>35000</v>
      </c>
      <c r="L32" s="260"/>
      <c r="M32" s="304" t="s">
        <v>651</v>
      </c>
      <c r="N32" s="280"/>
      <c r="O32" s="1" t="s">
        <v>183</v>
      </c>
    </row>
    <row r="33" spans="2:14" ht="32" outlineLevel="4" x14ac:dyDescent="0.2">
      <c r="B33" s="758"/>
      <c r="D33" s="259"/>
      <c r="E33" s="152"/>
      <c r="F33" s="152"/>
      <c r="G33" s="152"/>
      <c r="H33" s="805" t="s">
        <v>310</v>
      </c>
      <c r="I33" s="805"/>
      <c r="J33" s="943"/>
      <c r="K33" s="665">
        <v>150000</v>
      </c>
      <c r="L33" s="260"/>
      <c r="M33" s="304" t="s">
        <v>884</v>
      </c>
      <c r="N33" s="280"/>
    </row>
    <row r="34" spans="2:14" ht="52" customHeight="1" outlineLevel="3" x14ac:dyDescent="0.2">
      <c r="B34" s="758"/>
      <c r="D34" s="259"/>
      <c r="E34" s="152"/>
      <c r="F34" s="152"/>
      <c r="G34" s="941" t="s">
        <v>311</v>
      </c>
      <c r="H34" s="941"/>
      <c r="I34" s="941"/>
      <c r="J34" s="942"/>
      <c r="K34" s="402">
        <f>SUM(K35:K36)</f>
        <v>0</v>
      </c>
      <c r="L34" s="278" t="s">
        <v>758</v>
      </c>
      <c r="M34" s="304" t="s">
        <v>653</v>
      </c>
      <c r="N34" s="280"/>
    </row>
    <row r="35" spans="2:14" ht="15" customHeight="1" outlineLevel="4" x14ac:dyDescent="0.2">
      <c r="B35" s="758"/>
      <c r="D35" s="259"/>
      <c r="E35" s="152"/>
      <c r="F35" s="152"/>
      <c r="G35" s="152"/>
      <c r="H35" s="805" t="s">
        <v>312</v>
      </c>
      <c r="I35" s="805"/>
      <c r="J35" s="943"/>
      <c r="K35" s="665">
        <v>0</v>
      </c>
      <c r="L35" s="260"/>
      <c r="M35" s="304"/>
      <c r="N35" s="280"/>
    </row>
    <row r="36" spans="2:14" ht="15" customHeight="1" outlineLevel="4" x14ac:dyDescent="0.2">
      <c r="B36" s="758"/>
      <c r="D36" s="259"/>
      <c r="E36" s="152"/>
      <c r="F36" s="152"/>
      <c r="G36" s="152"/>
      <c r="H36" s="805" t="s">
        <v>313</v>
      </c>
      <c r="I36" s="805"/>
      <c r="J36" s="943"/>
      <c r="K36" s="665">
        <v>0</v>
      </c>
      <c r="L36" s="260"/>
      <c r="M36" s="304"/>
      <c r="N36" s="280"/>
    </row>
    <row r="37" spans="2:14" outlineLevel="3" x14ac:dyDescent="0.2">
      <c r="B37" s="758"/>
      <c r="D37" s="259"/>
      <c r="E37" s="152"/>
      <c r="F37" s="152"/>
      <c r="G37" s="941" t="s">
        <v>314</v>
      </c>
      <c r="H37" s="941"/>
      <c r="I37" s="941"/>
      <c r="J37" s="942"/>
      <c r="K37" s="665">
        <v>0</v>
      </c>
      <c r="L37" s="260"/>
      <c r="M37" s="304"/>
      <c r="N37" s="280"/>
    </row>
    <row r="38" spans="2:14" outlineLevel="3" x14ac:dyDescent="0.2">
      <c r="B38" s="758"/>
      <c r="D38" s="259"/>
      <c r="E38" s="152"/>
      <c r="F38" s="152"/>
      <c r="G38" s="805" t="s">
        <v>315</v>
      </c>
      <c r="H38" s="805"/>
      <c r="I38" s="805"/>
      <c r="J38" s="943"/>
      <c r="K38" s="402">
        <f>SUM(K39:K40)</f>
        <v>0</v>
      </c>
      <c r="L38" s="278" t="s">
        <v>759</v>
      </c>
      <c r="M38" s="304"/>
      <c r="N38" s="280"/>
    </row>
    <row r="39" spans="2:14" ht="15" customHeight="1" outlineLevel="4" x14ac:dyDescent="0.2">
      <c r="B39" s="758"/>
      <c r="D39" s="259"/>
      <c r="E39" s="152"/>
      <c r="F39" s="152"/>
      <c r="G39" s="152"/>
      <c r="H39" s="805" t="s">
        <v>316</v>
      </c>
      <c r="I39" s="805"/>
      <c r="J39" s="943"/>
      <c r="K39" s="665">
        <v>0</v>
      </c>
      <c r="L39" s="260"/>
      <c r="M39" s="304"/>
      <c r="N39" s="280"/>
    </row>
    <row r="40" spans="2:14" ht="15" customHeight="1" outlineLevel="4" x14ac:dyDescent="0.2">
      <c r="B40" s="758"/>
      <c r="D40" s="259"/>
      <c r="E40" s="152"/>
      <c r="F40" s="152"/>
      <c r="G40" s="152"/>
      <c r="H40" s="805" t="s">
        <v>317</v>
      </c>
      <c r="I40" s="805"/>
      <c r="J40" s="943"/>
      <c r="K40" s="665">
        <v>0</v>
      </c>
      <c r="L40" s="260"/>
      <c r="M40" s="304"/>
      <c r="N40" s="280"/>
    </row>
    <row r="41" spans="2:14" outlineLevel="3" x14ac:dyDescent="0.2">
      <c r="B41" s="758"/>
      <c r="D41" s="259"/>
      <c r="E41" s="152"/>
      <c r="F41" s="152"/>
      <c r="G41" s="941" t="s">
        <v>318</v>
      </c>
      <c r="H41" s="941"/>
      <c r="I41" s="941"/>
      <c r="J41" s="942"/>
      <c r="K41" s="402">
        <f>SUM(K42:K46)</f>
        <v>1531000</v>
      </c>
      <c r="L41" s="278" t="s">
        <v>760</v>
      </c>
      <c r="M41" s="304"/>
      <c r="N41" s="280"/>
    </row>
    <row r="42" spans="2:14" ht="16" outlineLevel="4" x14ac:dyDescent="0.2">
      <c r="B42" s="758"/>
      <c r="D42" s="259"/>
      <c r="E42" s="152"/>
      <c r="F42" s="152"/>
      <c r="G42" s="152"/>
      <c r="H42" s="805" t="s">
        <v>319</v>
      </c>
      <c r="I42" s="805"/>
      <c r="J42" s="943"/>
      <c r="K42" s="665">
        <v>600000</v>
      </c>
      <c r="L42" s="260"/>
      <c r="M42" s="304" t="s">
        <v>654</v>
      </c>
      <c r="N42" s="280"/>
    </row>
    <row r="43" spans="2:14" ht="16" outlineLevel="4" x14ac:dyDescent="0.2">
      <c r="B43" s="758"/>
      <c r="D43" s="259"/>
      <c r="E43" s="152"/>
      <c r="F43" s="152"/>
      <c r="G43" s="152"/>
      <c r="H43" s="805" t="s">
        <v>320</v>
      </c>
      <c r="I43" s="805"/>
      <c r="J43" s="943"/>
      <c r="K43" s="402">
        <f>SUM(K44:K45)</f>
        <v>450000</v>
      </c>
      <c r="L43" s="278" t="s">
        <v>761</v>
      </c>
      <c r="M43" s="304" t="s">
        <v>510</v>
      </c>
      <c r="N43" s="280"/>
    </row>
    <row r="44" spans="2:14" outlineLevel="5" x14ac:dyDescent="0.2">
      <c r="B44" s="758"/>
      <c r="D44" s="259"/>
      <c r="E44" s="152"/>
      <c r="F44" s="152"/>
      <c r="G44" s="152"/>
      <c r="H44" s="152"/>
      <c r="I44" s="805" t="s">
        <v>321</v>
      </c>
      <c r="J44" s="943"/>
      <c r="K44" s="665">
        <v>275000</v>
      </c>
      <c r="L44" s="260"/>
      <c r="M44" s="304"/>
      <c r="N44" s="280"/>
    </row>
    <row r="45" spans="2:14" outlineLevel="5" x14ac:dyDescent="0.2">
      <c r="B45" s="758"/>
      <c r="D45" s="259"/>
      <c r="E45" s="152"/>
      <c r="F45" s="152"/>
      <c r="G45" s="152"/>
      <c r="H45" s="152"/>
      <c r="I45" s="805" t="s">
        <v>322</v>
      </c>
      <c r="J45" s="943"/>
      <c r="K45" s="665">
        <v>175000</v>
      </c>
      <c r="L45" s="260"/>
      <c r="M45" s="304"/>
      <c r="N45" s="280"/>
    </row>
    <row r="46" spans="2:14" ht="32" outlineLevel="4" x14ac:dyDescent="0.2">
      <c r="B46" s="758"/>
      <c r="D46" s="259"/>
      <c r="E46" s="152"/>
      <c r="F46" s="152"/>
      <c r="G46" s="152"/>
      <c r="H46" s="941" t="s">
        <v>323</v>
      </c>
      <c r="I46" s="941"/>
      <c r="J46" s="942"/>
      <c r="K46" s="665">
        <v>31000</v>
      </c>
      <c r="L46" s="260"/>
      <c r="M46" s="304" t="s">
        <v>655</v>
      </c>
      <c r="N46" s="280"/>
    </row>
    <row r="47" spans="2:14" outlineLevel="3" x14ac:dyDescent="0.2">
      <c r="B47" s="758"/>
      <c r="D47" s="259"/>
      <c r="E47" s="152"/>
      <c r="F47" s="152"/>
      <c r="G47" s="941" t="s">
        <v>324</v>
      </c>
      <c r="H47" s="941"/>
      <c r="I47" s="941"/>
      <c r="J47" s="942"/>
      <c r="K47" s="402">
        <f>SUM(K48:K50)</f>
        <v>0</v>
      </c>
      <c r="L47" s="278" t="s">
        <v>762</v>
      </c>
      <c r="M47" s="304"/>
      <c r="N47" s="280"/>
    </row>
    <row r="48" spans="2:14" ht="15" customHeight="1" outlineLevel="4" x14ac:dyDescent="0.2">
      <c r="B48" s="758"/>
      <c r="D48" s="259"/>
      <c r="E48" s="152"/>
      <c r="F48" s="152"/>
      <c r="G48" s="152"/>
      <c r="H48" s="805" t="s">
        <v>325</v>
      </c>
      <c r="I48" s="805"/>
      <c r="J48" s="943"/>
      <c r="K48" s="665">
        <v>0</v>
      </c>
      <c r="L48" s="260"/>
      <c r="M48" s="304"/>
      <c r="N48" s="280"/>
    </row>
    <row r="49" spans="2:14" ht="15" customHeight="1" outlineLevel="4" x14ac:dyDescent="0.2">
      <c r="B49" s="758"/>
      <c r="D49" s="259"/>
      <c r="E49" s="152"/>
      <c r="F49" s="152"/>
      <c r="G49" s="152"/>
      <c r="H49" s="805" t="s">
        <v>326</v>
      </c>
      <c r="I49" s="805"/>
      <c r="J49" s="943"/>
      <c r="K49" s="665">
        <v>0</v>
      </c>
      <c r="L49" s="260"/>
      <c r="M49" s="304"/>
      <c r="N49" s="280"/>
    </row>
    <row r="50" spans="2:14" ht="15" customHeight="1" outlineLevel="4" x14ac:dyDescent="0.2">
      <c r="B50" s="758"/>
      <c r="D50" s="259"/>
      <c r="E50" s="152"/>
      <c r="F50" s="152"/>
      <c r="G50" s="152"/>
      <c r="H50" s="805" t="s">
        <v>327</v>
      </c>
      <c r="I50" s="805"/>
      <c r="J50" s="943"/>
      <c r="K50" s="665">
        <v>0</v>
      </c>
      <c r="L50" s="260"/>
      <c r="M50" s="304"/>
      <c r="N50" s="280"/>
    </row>
    <row r="51" spans="2:14" ht="32" outlineLevel="3" x14ac:dyDescent="0.2">
      <c r="B51" s="758"/>
      <c r="D51" s="259"/>
      <c r="E51" s="152"/>
      <c r="F51" s="152"/>
      <c r="G51" s="941" t="s">
        <v>328</v>
      </c>
      <c r="H51" s="941"/>
      <c r="I51" s="941"/>
      <c r="J51" s="942"/>
      <c r="K51" s="402">
        <v>125000</v>
      </c>
      <c r="L51" s="278" t="s">
        <v>763</v>
      </c>
      <c r="M51" s="304" t="s">
        <v>710</v>
      </c>
      <c r="N51" s="280"/>
    </row>
    <row r="52" spans="2:14" ht="15" customHeight="1" outlineLevel="4" x14ac:dyDescent="0.2">
      <c r="B52" s="758"/>
      <c r="D52" s="259"/>
      <c r="E52" s="152"/>
      <c r="F52" s="152"/>
      <c r="G52" s="152"/>
      <c r="H52" s="805" t="s">
        <v>329</v>
      </c>
      <c r="I52" s="805"/>
      <c r="J52" s="943"/>
      <c r="K52" s="665">
        <v>0</v>
      </c>
      <c r="L52" s="260"/>
      <c r="M52" s="304"/>
      <c r="N52" s="280"/>
    </row>
    <row r="53" spans="2:14" ht="15" customHeight="1" outlineLevel="4" x14ac:dyDescent="0.2">
      <c r="B53" s="758"/>
      <c r="D53" s="259"/>
      <c r="E53" s="152"/>
      <c r="F53" s="152"/>
      <c r="G53" s="152"/>
      <c r="H53" s="805" t="s">
        <v>330</v>
      </c>
      <c r="I53" s="805"/>
      <c r="J53" s="943"/>
      <c r="K53" s="665">
        <v>0</v>
      </c>
      <c r="L53" s="260"/>
      <c r="M53" s="304"/>
      <c r="N53" s="280"/>
    </row>
    <row r="54" spans="2:14" ht="15" customHeight="1" outlineLevel="4" x14ac:dyDescent="0.2">
      <c r="B54" s="758"/>
      <c r="D54" s="259"/>
      <c r="E54" s="152"/>
      <c r="F54" s="152"/>
      <c r="G54" s="152"/>
      <c r="H54" s="805" t="s">
        <v>331</v>
      </c>
      <c r="I54" s="805"/>
      <c r="J54" s="943"/>
      <c r="K54" s="665">
        <v>0</v>
      </c>
      <c r="L54" s="260"/>
      <c r="M54" s="304"/>
      <c r="N54" s="280"/>
    </row>
    <row r="55" spans="2:14" ht="15" customHeight="1" outlineLevel="4" x14ac:dyDescent="0.2">
      <c r="B55" s="758"/>
      <c r="D55" s="259"/>
      <c r="E55" s="152"/>
      <c r="F55" s="152"/>
      <c r="G55" s="152"/>
      <c r="H55" s="805" t="s">
        <v>332</v>
      </c>
      <c r="I55" s="805"/>
      <c r="J55" s="943"/>
      <c r="K55" s="665">
        <v>0</v>
      </c>
      <c r="L55" s="260"/>
      <c r="M55" s="304"/>
      <c r="N55" s="280"/>
    </row>
    <row r="56" spans="2:14" ht="15" customHeight="1" outlineLevel="4" x14ac:dyDescent="0.2">
      <c r="B56" s="758"/>
      <c r="D56" s="259"/>
      <c r="E56" s="152"/>
      <c r="F56" s="152"/>
      <c r="G56" s="152"/>
      <c r="H56" s="805" t="s">
        <v>333</v>
      </c>
      <c r="I56" s="805"/>
      <c r="J56" s="943"/>
      <c r="K56" s="665">
        <v>0</v>
      </c>
      <c r="L56" s="260"/>
      <c r="M56" s="304"/>
      <c r="N56" s="280"/>
    </row>
    <row r="57" spans="2:14" outlineLevel="3" x14ac:dyDescent="0.2">
      <c r="B57" s="758"/>
      <c r="D57" s="259"/>
      <c r="E57" s="152"/>
      <c r="F57" s="152"/>
      <c r="G57" s="941" t="s">
        <v>334</v>
      </c>
      <c r="H57" s="941"/>
      <c r="I57" s="941"/>
      <c r="J57" s="942"/>
      <c r="K57" s="402">
        <f>SUM(K58:K61)</f>
        <v>0</v>
      </c>
      <c r="L57" s="278" t="s">
        <v>764</v>
      </c>
      <c r="M57" s="304"/>
      <c r="N57" s="280"/>
    </row>
    <row r="58" spans="2:14" ht="15" customHeight="1" outlineLevel="4" x14ac:dyDescent="0.2">
      <c r="B58" s="758"/>
      <c r="D58" s="259"/>
      <c r="E58" s="152"/>
      <c r="F58" s="152"/>
      <c r="G58" s="152"/>
      <c r="H58" s="805" t="s">
        <v>335</v>
      </c>
      <c r="I58" s="805"/>
      <c r="J58" s="943"/>
      <c r="K58" s="665">
        <v>0</v>
      </c>
      <c r="L58" s="260"/>
      <c r="M58" s="304"/>
      <c r="N58" s="280"/>
    </row>
    <row r="59" spans="2:14" ht="15" customHeight="1" outlineLevel="4" x14ac:dyDescent="0.2">
      <c r="B59" s="758"/>
      <c r="D59" s="259"/>
      <c r="E59" s="152"/>
      <c r="F59" s="152"/>
      <c r="G59" s="152"/>
      <c r="H59" s="805" t="s">
        <v>336</v>
      </c>
      <c r="I59" s="805"/>
      <c r="J59" s="943"/>
      <c r="K59" s="665">
        <v>0</v>
      </c>
      <c r="L59" s="260"/>
      <c r="M59" s="304"/>
      <c r="N59" s="280"/>
    </row>
    <row r="60" spans="2:14" ht="15" customHeight="1" outlineLevel="4" x14ac:dyDescent="0.2">
      <c r="B60" s="758"/>
      <c r="D60" s="259"/>
      <c r="E60" s="152"/>
      <c r="F60" s="152"/>
      <c r="G60" s="152"/>
      <c r="H60" s="805" t="s">
        <v>337</v>
      </c>
      <c r="I60" s="805"/>
      <c r="J60" s="943"/>
      <c r="K60" s="665">
        <v>0</v>
      </c>
      <c r="L60" s="260"/>
      <c r="M60" s="304"/>
      <c r="N60" s="280"/>
    </row>
    <row r="61" spans="2:14" ht="15" customHeight="1" outlineLevel="4" x14ac:dyDescent="0.2">
      <c r="B61" s="758"/>
      <c r="D61" s="259"/>
      <c r="E61" s="152"/>
      <c r="F61" s="152"/>
      <c r="G61" s="152"/>
      <c r="H61" s="805" t="s">
        <v>338</v>
      </c>
      <c r="I61" s="805"/>
      <c r="J61" s="943"/>
      <c r="K61" s="665">
        <v>0</v>
      </c>
      <c r="L61" s="260"/>
      <c r="M61" s="304"/>
      <c r="N61" s="280"/>
    </row>
    <row r="62" spans="2:14" s="89" customFormat="1" ht="48" outlineLevel="2" x14ac:dyDescent="0.2">
      <c r="B62" s="758"/>
      <c r="D62" s="259"/>
      <c r="E62" s="152"/>
      <c r="F62" s="941" t="s">
        <v>339</v>
      </c>
      <c r="G62" s="941"/>
      <c r="H62" s="941"/>
      <c r="I62" s="941"/>
      <c r="J62" s="942"/>
      <c r="K62" s="403">
        <f>0.5*K29</f>
        <v>958000</v>
      </c>
      <c r="L62" s="278" t="s">
        <v>765</v>
      </c>
      <c r="M62" s="304" t="s">
        <v>747</v>
      </c>
      <c r="N62" s="288"/>
    </row>
    <row r="63" spans="2:14" ht="15" customHeight="1" outlineLevel="3" x14ac:dyDescent="0.2">
      <c r="B63" s="758"/>
      <c r="D63" s="259"/>
      <c r="E63" s="152"/>
      <c r="F63" s="152"/>
      <c r="G63" s="805" t="s">
        <v>340</v>
      </c>
      <c r="H63" s="805"/>
      <c r="I63" s="805"/>
      <c r="J63" s="943"/>
      <c r="K63" s="665">
        <v>0</v>
      </c>
      <c r="L63" s="260"/>
      <c r="M63" s="304"/>
      <c r="N63" s="280"/>
    </row>
    <row r="64" spans="2:14" ht="15" customHeight="1" outlineLevel="3" x14ac:dyDescent="0.2">
      <c r="B64" s="758"/>
      <c r="D64" s="259"/>
      <c r="E64" s="152"/>
      <c r="F64" s="152"/>
      <c r="G64" s="805" t="s">
        <v>341</v>
      </c>
      <c r="H64" s="805"/>
      <c r="I64" s="805"/>
      <c r="J64" s="943"/>
      <c r="K64" s="665">
        <v>0</v>
      </c>
      <c r="L64" s="260"/>
      <c r="M64" s="304"/>
      <c r="N64" s="280"/>
    </row>
    <row r="65" spans="2:14" ht="15" customHeight="1" outlineLevel="3" x14ac:dyDescent="0.2">
      <c r="B65" s="758"/>
      <c r="D65" s="259"/>
      <c r="E65" s="152"/>
      <c r="F65" s="152"/>
      <c r="G65" s="805" t="s">
        <v>342</v>
      </c>
      <c r="H65" s="805"/>
      <c r="I65" s="805"/>
      <c r="J65" s="943"/>
      <c r="K65" s="402">
        <f>SUM(K66:K68)</f>
        <v>0</v>
      </c>
      <c r="L65" s="278" t="s">
        <v>766</v>
      </c>
      <c r="M65" s="304"/>
      <c r="N65" s="280"/>
    </row>
    <row r="66" spans="2:14" ht="15" customHeight="1" outlineLevel="4" x14ac:dyDescent="0.2">
      <c r="B66" s="758"/>
      <c r="D66" s="259"/>
      <c r="E66" s="152"/>
      <c r="F66" s="152"/>
      <c r="G66" s="152"/>
      <c r="H66" s="805" t="s">
        <v>343</v>
      </c>
      <c r="I66" s="805"/>
      <c r="J66" s="943"/>
      <c r="K66" s="665">
        <v>0</v>
      </c>
      <c r="L66" s="260"/>
      <c r="M66" s="304"/>
      <c r="N66" s="280"/>
    </row>
    <row r="67" spans="2:14" ht="15" customHeight="1" outlineLevel="4" x14ac:dyDescent="0.2">
      <c r="B67" s="758"/>
      <c r="D67" s="259"/>
      <c r="E67" s="152"/>
      <c r="F67" s="152"/>
      <c r="G67" s="152"/>
      <c r="H67" s="805" t="s">
        <v>344</v>
      </c>
      <c r="I67" s="805"/>
      <c r="J67" s="943"/>
      <c r="K67" s="665">
        <v>0</v>
      </c>
      <c r="L67" s="260"/>
      <c r="M67" s="304"/>
      <c r="N67" s="280"/>
    </row>
    <row r="68" spans="2:14" ht="15" customHeight="1" outlineLevel="4" x14ac:dyDescent="0.2">
      <c r="B68" s="758"/>
      <c r="D68" s="259"/>
      <c r="E68" s="152"/>
      <c r="F68" s="152"/>
      <c r="G68" s="152"/>
      <c r="H68" s="805" t="s">
        <v>345</v>
      </c>
      <c r="I68" s="805"/>
      <c r="J68" s="943"/>
      <c r="K68" s="665">
        <v>0</v>
      </c>
      <c r="L68" s="260"/>
      <c r="M68" s="304"/>
      <c r="N68" s="280"/>
    </row>
    <row r="69" spans="2:14" ht="15" customHeight="1" outlineLevel="3" x14ac:dyDescent="0.2">
      <c r="B69" s="758"/>
      <c r="D69" s="259"/>
      <c r="E69" s="152"/>
      <c r="F69" s="152"/>
      <c r="G69" s="941" t="s">
        <v>346</v>
      </c>
      <c r="H69" s="941"/>
      <c r="I69" s="941"/>
      <c r="J69" s="942"/>
      <c r="K69" s="665">
        <v>0</v>
      </c>
      <c r="L69" s="260"/>
      <c r="M69" s="304"/>
      <c r="N69" s="280"/>
    </row>
    <row r="70" spans="2:14" ht="15" customHeight="1" outlineLevel="3" x14ac:dyDescent="0.2">
      <c r="B70" s="758"/>
      <c r="D70" s="259"/>
      <c r="E70" s="152"/>
      <c r="F70" s="152"/>
      <c r="G70" s="805" t="s">
        <v>347</v>
      </c>
      <c r="H70" s="805"/>
      <c r="I70" s="805"/>
      <c r="J70" s="943"/>
      <c r="K70" s="402">
        <f>SUM(K71:K72)</f>
        <v>0</v>
      </c>
      <c r="L70" s="278" t="s">
        <v>767</v>
      </c>
      <c r="M70" s="304"/>
      <c r="N70" s="280"/>
    </row>
    <row r="71" spans="2:14" ht="18" customHeight="1" outlineLevel="4" x14ac:dyDescent="0.2">
      <c r="B71" s="758"/>
      <c r="D71" s="259"/>
      <c r="E71" s="152"/>
      <c r="F71" s="152"/>
      <c r="G71" s="152"/>
      <c r="H71" s="805" t="s">
        <v>348</v>
      </c>
      <c r="I71" s="805"/>
      <c r="J71" s="943"/>
      <c r="K71" s="665">
        <v>0</v>
      </c>
      <c r="L71" s="260"/>
      <c r="M71" s="304"/>
      <c r="N71" s="280"/>
    </row>
    <row r="72" spans="2:14" ht="15" customHeight="1" outlineLevel="4" x14ac:dyDescent="0.2">
      <c r="B72" s="758"/>
      <c r="D72" s="259"/>
      <c r="E72" s="152"/>
      <c r="F72" s="152"/>
      <c r="G72" s="152"/>
      <c r="H72" s="805" t="s">
        <v>349</v>
      </c>
      <c r="I72" s="805"/>
      <c r="J72" s="943"/>
      <c r="K72" s="665">
        <v>0</v>
      </c>
      <c r="L72" s="260"/>
      <c r="M72" s="304"/>
      <c r="N72" s="280"/>
    </row>
    <row r="73" spans="2:14" s="89" customFormat="1" outlineLevel="2" x14ac:dyDescent="0.2">
      <c r="B73" s="758"/>
      <c r="D73" s="259"/>
      <c r="E73" s="152"/>
      <c r="F73" s="941" t="s">
        <v>350</v>
      </c>
      <c r="G73" s="941"/>
      <c r="H73" s="941"/>
      <c r="I73" s="941"/>
      <c r="J73" s="942"/>
      <c r="K73" s="402">
        <f>SUM(K74,K86,K96,K103,K142,K163)</f>
        <v>1628</v>
      </c>
      <c r="L73" s="278" t="s">
        <v>768</v>
      </c>
      <c r="M73" s="304"/>
      <c r="N73" s="288"/>
    </row>
    <row r="74" spans="2:14" outlineLevel="3" x14ac:dyDescent="0.2">
      <c r="B74" s="758"/>
      <c r="D74" s="259"/>
      <c r="E74" s="152"/>
      <c r="F74" s="152"/>
      <c r="G74" s="805" t="s">
        <v>351</v>
      </c>
      <c r="H74" s="805"/>
      <c r="I74" s="805"/>
      <c r="J74" s="943"/>
      <c r="K74" s="402">
        <f>SUM(K75,K78,K84:K85)</f>
        <v>1628</v>
      </c>
      <c r="L74" s="278" t="s">
        <v>769</v>
      </c>
      <c r="M74" s="304"/>
      <c r="N74" s="280"/>
    </row>
    <row r="75" spans="2:14" outlineLevel="4" x14ac:dyDescent="0.2">
      <c r="B75" s="758"/>
      <c r="D75" s="259"/>
      <c r="E75" s="152"/>
      <c r="F75" s="152"/>
      <c r="G75" s="152"/>
      <c r="H75" s="805" t="s">
        <v>352</v>
      </c>
      <c r="I75" s="805"/>
      <c r="J75" s="943"/>
      <c r="K75" s="402">
        <f>SUM(K76:K77)</f>
        <v>1628</v>
      </c>
      <c r="L75" s="278" t="s">
        <v>770</v>
      </c>
      <c r="M75" s="304"/>
      <c r="N75" s="280"/>
    </row>
    <row r="76" spans="2:14" ht="16" outlineLevel="5" x14ac:dyDescent="0.2">
      <c r="B76" s="758"/>
      <c r="D76" s="259"/>
      <c r="E76" s="152"/>
      <c r="F76" s="152"/>
      <c r="G76" s="152"/>
      <c r="H76" s="152"/>
      <c r="I76" s="805" t="s">
        <v>353</v>
      </c>
      <c r="J76" s="943"/>
      <c r="K76" s="665">
        <v>1628</v>
      </c>
      <c r="L76" s="260"/>
      <c r="M76" s="304" t="s">
        <v>656</v>
      </c>
      <c r="N76" s="280"/>
    </row>
    <row r="77" spans="2:14" outlineLevel="5" x14ac:dyDescent="0.2">
      <c r="B77" s="758"/>
      <c r="D77" s="259"/>
      <c r="E77" s="152"/>
      <c r="F77" s="152"/>
      <c r="G77" s="152"/>
      <c r="H77" s="152"/>
      <c r="I77" s="805" t="s">
        <v>354</v>
      </c>
      <c r="J77" s="943"/>
      <c r="K77" s="665">
        <v>0</v>
      </c>
      <c r="L77" s="260"/>
      <c r="M77" s="304"/>
      <c r="N77" s="280"/>
    </row>
    <row r="78" spans="2:14" outlineLevel="4" x14ac:dyDescent="0.2">
      <c r="B78" s="758"/>
      <c r="D78" s="259"/>
      <c r="E78" s="152"/>
      <c r="F78" s="152"/>
      <c r="G78" s="152"/>
      <c r="H78" s="941" t="s">
        <v>355</v>
      </c>
      <c r="I78" s="941"/>
      <c r="J78" s="942"/>
      <c r="K78" s="402">
        <f>SUM(K79:K83)</f>
        <v>0</v>
      </c>
      <c r="L78" s="278" t="s">
        <v>771</v>
      </c>
      <c r="M78" s="304"/>
      <c r="N78" s="280"/>
    </row>
    <row r="79" spans="2:14" ht="15" customHeight="1" outlineLevel="5" x14ac:dyDescent="0.2">
      <c r="B79" s="758"/>
      <c r="D79" s="259"/>
      <c r="E79" s="152"/>
      <c r="F79" s="152"/>
      <c r="G79" s="152"/>
      <c r="H79" s="152"/>
      <c r="I79" s="805" t="s">
        <v>356</v>
      </c>
      <c r="J79" s="943"/>
      <c r="K79" s="665">
        <v>0</v>
      </c>
      <c r="L79" s="260"/>
      <c r="M79" s="304"/>
      <c r="N79" s="280"/>
    </row>
    <row r="80" spans="2:14" ht="15" customHeight="1" outlineLevel="5" x14ac:dyDescent="0.2">
      <c r="B80" s="758"/>
      <c r="D80" s="259"/>
      <c r="E80" s="152"/>
      <c r="F80" s="152"/>
      <c r="G80" s="152"/>
      <c r="H80" s="152"/>
      <c r="I80" s="805" t="s">
        <v>357</v>
      </c>
      <c r="J80" s="943"/>
      <c r="K80" s="665">
        <v>0</v>
      </c>
      <c r="L80" s="260"/>
      <c r="M80" s="304"/>
      <c r="N80" s="280"/>
    </row>
    <row r="81" spans="2:14" ht="15" customHeight="1" outlineLevel="5" x14ac:dyDescent="0.2">
      <c r="B81" s="758"/>
      <c r="D81" s="259"/>
      <c r="E81" s="152"/>
      <c r="F81" s="152"/>
      <c r="G81" s="152"/>
      <c r="H81" s="152"/>
      <c r="I81" s="805" t="s">
        <v>358</v>
      </c>
      <c r="J81" s="943"/>
      <c r="K81" s="665">
        <v>0</v>
      </c>
      <c r="L81" s="260"/>
      <c r="M81" s="304"/>
      <c r="N81" s="280"/>
    </row>
    <row r="82" spans="2:14" ht="15" customHeight="1" outlineLevel="5" x14ac:dyDescent="0.2">
      <c r="B82" s="758"/>
      <c r="D82" s="259"/>
      <c r="E82" s="152"/>
      <c r="F82" s="152"/>
      <c r="G82" s="152"/>
      <c r="H82" s="152"/>
      <c r="I82" s="805" t="s">
        <v>359</v>
      </c>
      <c r="J82" s="943"/>
      <c r="K82" s="665">
        <v>0</v>
      </c>
      <c r="L82" s="260"/>
      <c r="M82" s="304"/>
      <c r="N82" s="280"/>
    </row>
    <row r="83" spans="2:14" ht="15" customHeight="1" outlineLevel="5" x14ac:dyDescent="0.2">
      <c r="B83" s="758"/>
      <c r="D83" s="259"/>
      <c r="E83" s="152"/>
      <c r="F83" s="152"/>
      <c r="G83" s="152"/>
      <c r="H83" s="152"/>
      <c r="I83" s="805" t="s">
        <v>360</v>
      </c>
      <c r="J83" s="943"/>
      <c r="K83" s="665">
        <v>0</v>
      </c>
      <c r="L83" s="260"/>
      <c r="M83" s="304"/>
      <c r="N83" s="280"/>
    </row>
    <row r="84" spans="2:14" outlineLevel="4" x14ac:dyDescent="0.2">
      <c r="B84" s="758"/>
      <c r="D84" s="259"/>
      <c r="E84" s="152"/>
      <c r="F84" s="152"/>
      <c r="G84" s="152"/>
      <c r="H84" s="941" t="s">
        <v>361</v>
      </c>
      <c r="I84" s="941"/>
      <c r="J84" s="942"/>
      <c r="K84" s="665">
        <v>0</v>
      </c>
      <c r="L84" s="260"/>
      <c r="M84" s="304"/>
      <c r="N84" s="280"/>
    </row>
    <row r="85" spans="2:14" outlineLevel="4" x14ac:dyDescent="0.2">
      <c r="B85" s="758"/>
      <c r="D85" s="259"/>
      <c r="E85" s="152"/>
      <c r="F85" s="152"/>
      <c r="G85" s="152"/>
      <c r="H85" s="805" t="s">
        <v>362</v>
      </c>
      <c r="I85" s="805"/>
      <c r="J85" s="943"/>
      <c r="K85" s="665">
        <v>0</v>
      </c>
      <c r="L85" s="260"/>
      <c r="M85" s="304"/>
      <c r="N85" s="280"/>
    </row>
    <row r="86" spans="2:14" outlineLevel="3" x14ac:dyDescent="0.2">
      <c r="B86" s="758"/>
      <c r="D86" s="259"/>
      <c r="E86" s="152"/>
      <c r="F86" s="152"/>
      <c r="G86" s="941" t="s">
        <v>363</v>
      </c>
      <c r="H86" s="941"/>
      <c r="I86" s="941"/>
      <c r="J86" s="942"/>
      <c r="K86" s="402">
        <f>SUM(K87:K88,K94:K95)</f>
        <v>0</v>
      </c>
      <c r="L86" s="278" t="s">
        <v>772</v>
      </c>
      <c r="M86" s="304"/>
      <c r="N86" s="280"/>
    </row>
    <row r="87" spans="2:14" ht="15" customHeight="1" outlineLevel="4" x14ac:dyDescent="0.2">
      <c r="B87" s="758"/>
      <c r="D87" s="259"/>
      <c r="E87" s="152"/>
      <c r="F87" s="152"/>
      <c r="G87" s="152"/>
      <c r="H87" s="805" t="s">
        <v>364</v>
      </c>
      <c r="I87" s="805"/>
      <c r="J87" s="943"/>
      <c r="K87" s="665">
        <v>0</v>
      </c>
      <c r="L87" s="260"/>
      <c r="M87" s="304"/>
      <c r="N87" s="280"/>
    </row>
    <row r="88" spans="2:14" ht="15" customHeight="1" outlineLevel="4" x14ac:dyDescent="0.2">
      <c r="B88" s="758"/>
      <c r="D88" s="259"/>
      <c r="E88" s="152"/>
      <c r="F88" s="152"/>
      <c r="G88" s="152"/>
      <c r="H88" s="805" t="s">
        <v>365</v>
      </c>
      <c r="I88" s="805"/>
      <c r="J88" s="943"/>
      <c r="K88" s="402">
        <f>SUM(K89:K93)</f>
        <v>0</v>
      </c>
      <c r="L88" s="278" t="s">
        <v>773</v>
      </c>
      <c r="M88" s="304"/>
      <c r="N88" s="280"/>
    </row>
    <row r="89" spans="2:14" ht="15" customHeight="1" outlineLevel="5" x14ac:dyDescent="0.2">
      <c r="B89" s="758"/>
      <c r="D89" s="259"/>
      <c r="E89" s="152"/>
      <c r="F89" s="152"/>
      <c r="G89" s="152"/>
      <c r="H89" s="152"/>
      <c r="I89" s="805" t="s">
        <v>366</v>
      </c>
      <c r="J89" s="943"/>
      <c r="K89" s="665">
        <v>0</v>
      </c>
      <c r="L89" s="260"/>
      <c r="M89" s="304"/>
      <c r="N89" s="280"/>
    </row>
    <row r="90" spans="2:14" ht="15" customHeight="1" outlineLevel="5" x14ac:dyDescent="0.2">
      <c r="B90" s="758"/>
      <c r="D90" s="259"/>
      <c r="E90" s="152"/>
      <c r="F90" s="152"/>
      <c r="G90" s="152"/>
      <c r="H90" s="152"/>
      <c r="I90" s="805" t="s">
        <v>367</v>
      </c>
      <c r="J90" s="943"/>
      <c r="K90" s="665">
        <v>0</v>
      </c>
      <c r="L90" s="260"/>
      <c r="M90" s="304"/>
      <c r="N90" s="280"/>
    </row>
    <row r="91" spans="2:14" ht="15" customHeight="1" outlineLevel="5" x14ac:dyDescent="0.2">
      <c r="B91" s="758"/>
      <c r="D91" s="259"/>
      <c r="E91" s="152"/>
      <c r="F91" s="152"/>
      <c r="G91" s="152"/>
      <c r="H91" s="152"/>
      <c r="I91" s="805" t="s">
        <v>368</v>
      </c>
      <c r="J91" s="943"/>
      <c r="K91" s="665">
        <v>0</v>
      </c>
      <c r="L91" s="260"/>
      <c r="M91" s="304"/>
      <c r="N91" s="280"/>
    </row>
    <row r="92" spans="2:14" ht="15" customHeight="1" outlineLevel="5" x14ac:dyDescent="0.2">
      <c r="B92" s="758"/>
      <c r="D92" s="259"/>
      <c r="E92" s="152"/>
      <c r="F92" s="152"/>
      <c r="G92" s="152"/>
      <c r="H92" s="152"/>
      <c r="I92" s="805" t="s">
        <v>369</v>
      </c>
      <c r="J92" s="943"/>
      <c r="K92" s="665">
        <v>0</v>
      </c>
      <c r="L92" s="260"/>
      <c r="M92" s="304"/>
      <c r="N92" s="280"/>
    </row>
    <row r="93" spans="2:14" ht="15" customHeight="1" outlineLevel="5" x14ac:dyDescent="0.2">
      <c r="B93" s="758"/>
      <c r="D93" s="259"/>
      <c r="E93" s="152"/>
      <c r="F93" s="152"/>
      <c r="G93" s="152"/>
      <c r="H93" s="152"/>
      <c r="I93" s="805" t="s">
        <v>370</v>
      </c>
      <c r="J93" s="943"/>
      <c r="K93" s="665">
        <v>0</v>
      </c>
      <c r="L93" s="260"/>
      <c r="M93" s="304"/>
      <c r="N93" s="280"/>
    </row>
    <row r="94" spans="2:14" ht="15" customHeight="1" outlineLevel="4" x14ac:dyDescent="0.2">
      <c r="B94" s="758"/>
      <c r="D94" s="259"/>
      <c r="E94" s="152"/>
      <c r="F94" s="152"/>
      <c r="G94" s="152"/>
      <c r="H94" s="941" t="s">
        <v>371</v>
      </c>
      <c r="I94" s="941"/>
      <c r="J94" s="942"/>
      <c r="K94" s="665">
        <v>0</v>
      </c>
      <c r="L94" s="260"/>
      <c r="M94" s="304"/>
      <c r="N94" s="280"/>
    </row>
    <row r="95" spans="2:14" ht="15" customHeight="1" outlineLevel="4" x14ac:dyDescent="0.2">
      <c r="B95" s="758"/>
      <c r="D95" s="259"/>
      <c r="E95" s="152"/>
      <c r="F95" s="152"/>
      <c r="G95" s="152"/>
      <c r="H95" s="805" t="s">
        <v>372</v>
      </c>
      <c r="I95" s="805"/>
      <c r="J95" s="943"/>
      <c r="K95" s="665">
        <v>0</v>
      </c>
      <c r="L95" s="260"/>
      <c r="M95" s="304"/>
      <c r="N95" s="280"/>
    </row>
    <row r="96" spans="2:14" outlineLevel="3" x14ac:dyDescent="0.2">
      <c r="B96" s="758"/>
      <c r="D96" s="259"/>
      <c r="E96" s="152"/>
      <c r="F96" s="152"/>
      <c r="G96" s="941" t="s">
        <v>373</v>
      </c>
      <c r="H96" s="941"/>
      <c r="I96" s="941"/>
      <c r="J96" s="942"/>
      <c r="K96" s="402">
        <f>SUM(K97:K102)</f>
        <v>0</v>
      </c>
      <c r="L96" s="278" t="s">
        <v>774</v>
      </c>
      <c r="M96" s="304"/>
      <c r="N96" s="280"/>
    </row>
    <row r="97" spans="2:14" ht="15" customHeight="1" outlineLevel="4" x14ac:dyDescent="0.2">
      <c r="B97" s="758"/>
      <c r="D97" s="259"/>
      <c r="E97" s="152"/>
      <c r="F97" s="152"/>
      <c r="G97" s="152"/>
      <c r="H97" s="805" t="s">
        <v>374</v>
      </c>
      <c r="I97" s="805"/>
      <c r="J97" s="943"/>
      <c r="K97" s="665">
        <v>0</v>
      </c>
      <c r="L97" s="260"/>
      <c r="M97" s="304"/>
      <c r="N97" s="280"/>
    </row>
    <row r="98" spans="2:14" ht="15" customHeight="1" outlineLevel="4" x14ac:dyDescent="0.2">
      <c r="B98" s="758"/>
      <c r="D98" s="259"/>
      <c r="E98" s="152"/>
      <c r="F98" s="152"/>
      <c r="G98" s="152"/>
      <c r="H98" s="805" t="s">
        <v>375</v>
      </c>
      <c r="I98" s="805"/>
      <c r="J98" s="943"/>
      <c r="K98" s="665">
        <v>0</v>
      </c>
      <c r="L98" s="260"/>
      <c r="M98" s="304"/>
      <c r="N98" s="280"/>
    </row>
    <row r="99" spans="2:14" ht="15" customHeight="1" outlineLevel="4" x14ac:dyDescent="0.2">
      <c r="B99" s="758"/>
      <c r="D99" s="259"/>
      <c r="E99" s="152"/>
      <c r="F99" s="152"/>
      <c r="G99" s="152"/>
      <c r="H99" s="805" t="s">
        <v>376</v>
      </c>
      <c r="I99" s="805"/>
      <c r="J99" s="943"/>
      <c r="K99" s="665">
        <v>0</v>
      </c>
      <c r="L99" s="260"/>
      <c r="M99" s="304"/>
      <c r="N99" s="280"/>
    </row>
    <row r="100" spans="2:14" ht="15" customHeight="1" outlineLevel="4" x14ac:dyDescent="0.2">
      <c r="B100" s="758"/>
      <c r="D100" s="259"/>
      <c r="E100" s="152"/>
      <c r="F100" s="152"/>
      <c r="G100" s="152"/>
      <c r="H100" s="805" t="s">
        <v>377</v>
      </c>
      <c r="I100" s="805"/>
      <c r="J100" s="943"/>
      <c r="K100" s="665">
        <v>0</v>
      </c>
      <c r="L100" s="260"/>
      <c r="M100" s="304"/>
      <c r="N100" s="280"/>
    </row>
    <row r="101" spans="2:14" ht="15" customHeight="1" outlineLevel="4" x14ac:dyDescent="0.2">
      <c r="B101" s="758"/>
      <c r="D101" s="259"/>
      <c r="E101" s="152"/>
      <c r="F101" s="152"/>
      <c r="G101" s="152"/>
      <c r="H101" s="805" t="s">
        <v>378</v>
      </c>
      <c r="I101" s="805"/>
      <c r="J101" s="943"/>
      <c r="K101" s="665">
        <v>0</v>
      </c>
      <c r="L101" s="260"/>
      <c r="M101" s="304"/>
      <c r="N101" s="280"/>
    </row>
    <row r="102" spans="2:14" ht="15" customHeight="1" outlineLevel="4" x14ac:dyDescent="0.2">
      <c r="B102" s="758"/>
      <c r="D102" s="259"/>
      <c r="E102" s="152"/>
      <c r="F102" s="152"/>
      <c r="G102" s="152"/>
      <c r="H102" s="805" t="s">
        <v>379</v>
      </c>
      <c r="I102" s="805"/>
      <c r="J102" s="943"/>
      <c r="K102" s="665">
        <v>0</v>
      </c>
      <c r="L102" s="260"/>
      <c r="M102" s="304"/>
      <c r="N102" s="280"/>
    </row>
    <row r="103" spans="2:14" outlineLevel="3" x14ac:dyDescent="0.2">
      <c r="B103" s="758"/>
      <c r="D103" s="259"/>
      <c r="E103" s="152"/>
      <c r="F103" s="152"/>
      <c r="G103" s="941" t="s">
        <v>380</v>
      </c>
      <c r="H103" s="941"/>
      <c r="I103" s="941"/>
      <c r="J103" s="942"/>
      <c r="K103" s="402">
        <f>SUM(K104,K112,K119,K130)</f>
        <v>0</v>
      </c>
      <c r="L103" s="278" t="s">
        <v>775</v>
      </c>
      <c r="M103" s="304"/>
      <c r="N103" s="280"/>
    </row>
    <row r="104" spans="2:14" ht="15" customHeight="1" outlineLevel="4" x14ac:dyDescent="0.2">
      <c r="B104" s="758"/>
      <c r="D104" s="259"/>
      <c r="E104" s="152"/>
      <c r="F104" s="152"/>
      <c r="G104" s="152"/>
      <c r="H104" s="805" t="s">
        <v>381</v>
      </c>
      <c r="I104" s="805"/>
      <c r="J104" s="943"/>
      <c r="K104" s="402">
        <f>SUM(K105:K111)</f>
        <v>0</v>
      </c>
      <c r="L104" s="278" t="s">
        <v>776</v>
      </c>
      <c r="M104" s="304"/>
      <c r="N104" s="280"/>
    </row>
    <row r="105" spans="2:14" ht="15" customHeight="1" outlineLevel="5" x14ac:dyDescent="0.2">
      <c r="B105" s="758"/>
      <c r="D105" s="259"/>
      <c r="E105" s="152"/>
      <c r="F105" s="152"/>
      <c r="G105" s="152"/>
      <c r="H105" s="152"/>
      <c r="I105" s="805" t="s">
        <v>382</v>
      </c>
      <c r="J105" s="943"/>
      <c r="K105" s="665">
        <v>0</v>
      </c>
      <c r="L105" s="260"/>
      <c r="M105" s="304"/>
      <c r="N105" s="280"/>
    </row>
    <row r="106" spans="2:14" ht="15" customHeight="1" outlineLevel="5" x14ac:dyDescent="0.2">
      <c r="B106" s="758"/>
      <c r="D106" s="259"/>
      <c r="E106" s="152"/>
      <c r="F106" s="152"/>
      <c r="G106" s="152"/>
      <c r="H106" s="152"/>
      <c r="I106" s="805" t="s">
        <v>383</v>
      </c>
      <c r="J106" s="943"/>
      <c r="K106" s="665">
        <v>0</v>
      </c>
      <c r="L106" s="260"/>
      <c r="M106" s="304"/>
      <c r="N106" s="280"/>
    </row>
    <row r="107" spans="2:14" ht="15" customHeight="1" outlineLevel="5" x14ac:dyDescent="0.2">
      <c r="B107" s="758"/>
      <c r="D107" s="259"/>
      <c r="E107" s="152"/>
      <c r="F107" s="152"/>
      <c r="G107" s="152"/>
      <c r="H107" s="152"/>
      <c r="I107" s="805" t="s">
        <v>384</v>
      </c>
      <c r="J107" s="943"/>
      <c r="K107" s="665">
        <v>0</v>
      </c>
      <c r="L107" s="260"/>
      <c r="M107" s="304"/>
      <c r="N107" s="280"/>
    </row>
    <row r="108" spans="2:14" ht="15" customHeight="1" outlineLevel="5" x14ac:dyDescent="0.2">
      <c r="B108" s="758"/>
      <c r="D108" s="259"/>
      <c r="E108" s="152"/>
      <c r="F108" s="152"/>
      <c r="G108" s="152"/>
      <c r="H108" s="152"/>
      <c r="I108" s="805" t="s">
        <v>385</v>
      </c>
      <c r="J108" s="943"/>
      <c r="K108" s="665">
        <v>0</v>
      </c>
      <c r="L108" s="260"/>
      <c r="M108" s="304"/>
      <c r="N108" s="280"/>
    </row>
    <row r="109" spans="2:14" ht="15" customHeight="1" outlineLevel="5" x14ac:dyDescent="0.2">
      <c r="B109" s="758"/>
      <c r="D109" s="259"/>
      <c r="E109" s="152"/>
      <c r="F109" s="152"/>
      <c r="G109" s="152"/>
      <c r="H109" s="152"/>
      <c r="I109" s="805" t="s">
        <v>386</v>
      </c>
      <c r="J109" s="943"/>
      <c r="K109" s="665">
        <v>0</v>
      </c>
      <c r="L109" s="260"/>
      <c r="M109" s="304"/>
      <c r="N109" s="280"/>
    </row>
    <row r="110" spans="2:14" ht="15" customHeight="1" outlineLevel="5" x14ac:dyDescent="0.2">
      <c r="B110" s="758"/>
      <c r="D110" s="259"/>
      <c r="E110" s="152"/>
      <c r="F110" s="152"/>
      <c r="G110" s="152"/>
      <c r="H110" s="152"/>
      <c r="I110" s="805" t="s">
        <v>387</v>
      </c>
      <c r="J110" s="943"/>
      <c r="K110" s="665">
        <v>0</v>
      </c>
      <c r="L110" s="260"/>
      <c r="M110" s="304"/>
      <c r="N110" s="280"/>
    </row>
    <row r="111" spans="2:14" ht="15" customHeight="1" outlineLevel="5" x14ac:dyDescent="0.2">
      <c r="B111" s="758"/>
      <c r="D111" s="259"/>
      <c r="E111" s="152"/>
      <c r="F111" s="152"/>
      <c r="G111" s="152"/>
      <c r="H111" s="152"/>
      <c r="I111" s="805" t="s">
        <v>388</v>
      </c>
      <c r="J111" s="943"/>
      <c r="K111" s="665">
        <v>0</v>
      </c>
      <c r="L111" s="260"/>
      <c r="M111" s="304"/>
      <c r="N111" s="280"/>
    </row>
    <row r="112" spans="2:14" ht="15" customHeight="1" outlineLevel="4" x14ac:dyDescent="0.2">
      <c r="B112" s="758"/>
      <c r="D112" s="259"/>
      <c r="E112" s="152"/>
      <c r="F112" s="152"/>
      <c r="G112" s="152"/>
      <c r="H112" s="941" t="s">
        <v>389</v>
      </c>
      <c r="I112" s="941"/>
      <c r="J112" s="942"/>
      <c r="K112" s="402">
        <f>SUM(K113:K118)</f>
        <v>0</v>
      </c>
      <c r="L112" s="278" t="s">
        <v>777</v>
      </c>
      <c r="M112" s="304"/>
      <c r="N112" s="280"/>
    </row>
    <row r="113" spans="2:14" ht="15" customHeight="1" outlineLevel="5" x14ac:dyDescent="0.2">
      <c r="B113" s="758"/>
      <c r="D113" s="259"/>
      <c r="E113" s="152"/>
      <c r="F113" s="152"/>
      <c r="G113" s="152"/>
      <c r="H113" s="152"/>
      <c r="I113" s="805" t="s">
        <v>390</v>
      </c>
      <c r="J113" s="943"/>
      <c r="K113" s="665">
        <v>0</v>
      </c>
      <c r="L113" s="260"/>
      <c r="M113" s="304"/>
      <c r="N113" s="280"/>
    </row>
    <row r="114" spans="2:14" ht="15" customHeight="1" outlineLevel="5" x14ac:dyDescent="0.2">
      <c r="B114" s="758"/>
      <c r="D114" s="259"/>
      <c r="E114" s="152"/>
      <c r="F114" s="152"/>
      <c r="G114" s="152"/>
      <c r="H114" s="152"/>
      <c r="I114" s="805" t="s">
        <v>391</v>
      </c>
      <c r="J114" s="943"/>
      <c r="K114" s="665">
        <v>0</v>
      </c>
      <c r="L114" s="260"/>
      <c r="M114" s="304"/>
      <c r="N114" s="280"/>
    </row>
    <row r="115" spans="2:14" ht="15" customHeight="1" outlineLevel="5" x14ac:dyDescent="0.2">
      <c r="B115" s="758"/>
      <c r="D115" s="259"/>
      <c r="E115" s="152"/>
      <c r="F115" s="152"/>
      <c r="G115" s="152"/>
      <c r="H115" s="152"/>
      <c r="I115" s="805" t="s">
        <v>392</v>
      </c>
      <c r="J115" s="943"/>
      <c r="K115" s="665">
        <v>0</v>
      </c>
      <c r="L115" s="260"/>
      <c r="M115" s="304"/>
      <c r="N115" s="280"/>
    </row>
    <row r="116" spans="2:14" ht="15" customHeight="1" outlineLevel="5" x14ac:dyDescent="0.2">
      <c r="B116" s="758"/>
      <c r="D116" s="259"/>
      <c r="E116" s="152"/>
      <c r="F116" s="152"/>
      <c r="G116" s="152"/>
      <c r="H116" s="152"/>
      <c r="I116" s="805" t="s">
        <v>393</v>
      </c>
      <c r="J116" s="943"/>
      <c r="K116" s="665">
        <v>0</v>
      </c>
      <c r="L116" s="260"/>
      <c r="M116" s="304"/>
      <c r="N116" s="280"/>
    </row>
    <row r="117" spans="2:14" ht="15" customHeight="1" outlineLevel="5" x14ac:dyDescent="0.2">
      <c r="B117" s="758"/>
      <c r="D117" s="259"/>
      <c r="E117" s="152"/>
      <c r="F117" s="152"/>
      <c r="G117" s="152"/>
      <c r="H117" s="152"/>
      <c r="I117" s="805" t="s">
        <v>394</v>
      </c>
      <c r="J117" s="943"/>
      <c r="K117" s="665">
        <v>0</v>
      </c>
      <c r="L117" s="260"/>
      <c r="M117" s="304"/>
      <c r="N117" s="280"/>
    </row>
    <row r="118" spans="2:14" ht="15" customHeight="1" outlineLevel="5" x14ac:dyDescent="0.2">
      <c r="B118" s="758"/>
      <c r="D118" s="259"/>
      <c r="E118" s="152"/>
      <c r="F118" s="152"/>
      <c r="G118" s="152"/>
      <c r="H118" s="152"/>
      <c r="I118" s="805" t="s">
        <v>395</v>
      </c>
      <c r="J118" s="943"/>
      <c r="K118" s="665">
        <v>0</v>
      </c>
      <c r="L118" s="260"/>
      <c r="M118" s="304"/>
      <c r="N118" s="280"/>
    </row>
    <row r="119" spans="2:14" ht="15" customHeight="1" outlineLevel="4" x14ac:dyDescent="0.2">
      <c r="B119" s="758"/>
      <c r="D119" s="259"/>
      <c r="E119" s="152"/>
      <c r="F119" s="152"/>
      <c r="G119" s="152"/>
      <c r="H119" s="941" t="s">
        <v>396</v>
      </c>
      <c r="I119" s="941"/>
      <c r="J119" s="942"/>
      <c r="K119" s="402">
        <f>SUM(K120:K129)</f>
        <v>0</v>
      </c>
      <c r="L119" s="278" t="s">
        <v>778</v>
      </c>
      <c r="M119" s="304"/>
      <c r="N119" s="280"/>
    </row>
    <row r="120" spans="2:14" ht="15" customHeight="1" outlineLevel="5" x14ac:dyDescent="0.2">
      <c r="B120" s="758"/>
      <c r="D120" s="259"/>
      <c r="E120" s="152"/>
      <c r="F120" s="152"/>
      <c r="G120" s="152"/>
      <c r="H120" s="152"/>
      <c r="I120" s="805" t="s">
        <v>397</v>
      </c>
      <c r="J120" s="943"/>
      <c r="K120" s="665">
        <v>0</v>
      </c>
      <c r="L120" s="260"/>
      <c r="M120" s="304"/>
      <c r="N120" s="280"/>
    </row>
    <row r="121" spans="2:14" ht="15" customHeight="1" outlineLevel="5" x14ac:dyDescent="0.2">
      <c r="B121" s="758"/>
      <c r="D121" s="259"/>
      <c r="E121" s="152"/>
      <c r="F121" s="152"/>
      <c r="G121" s="152"/>
      <c r="H121" s="152"/>
      <c r="I121" s="805" t="s">
        <v>398</v>
      </c>
      <c r="J121" s="943"/>
      <c r="K121" s="665">
        <v>0</v>
      </c>
      <c r="L121" s="260"/>
      <c r="M121" s="304"/>
      <c r="N121" s="280"/>
    </row>
    <row r="122" spans="2:14" ht="15" customHeight="1" outlineLevel="5" x14ac:dyDescent="0.2">
      <c r="B122" s="758"/>
      <c r="D122" s="259"/>
      <c r="E122" s="152"/>
      <c r="F122" s="152"/>
      <c r="G122" s="152"/>
      <c r="H122" s="152"/>
      <c r="I122" s="805" t="s">
        <v>399</v>
      </c>
      <c r="J122" s="943"/>
      <c r="K122" s="665">
        <v>0</v>
      </c>
      <c r="L122" s="260"/>
      <c r="M122" s="304"/>
      <c r="N122" s="280"/>
    </row>
    <row r="123" spans="2:14" ht="15" customHeight="1" outlineLevel="5" x14ac:dyDescent="0.2">
      <c r="B123" s="758"/>
      <c r="D123" s="259"/>
      <c r="E123" s="152"/>
      <c r="F123" s="152"/>
      <c r="G123" s="152"/>
      <c r="H123" s="152"/>
      <c r="I123" s="805" t="s">
        <v>400</v>
      </c>
      <c r="J123" s="943"/>
      <c r="K123" s="665">
        <v>0</v>
      </c>
      <c r="L123" s="260"/>
      <c r="M123" s="304"/>
      <c r="N123" s="280"/>
    </row>
    <row r="124" spans="2:14" ht="15" customHeight="1" outlineLevel="5" x14ac:dyDescent="0.2">
      <c r="B124" s="758"/>
      <c r="D124" s="259"/>
      <c r="E124" s="152"/>
      <c r="F124" s="152"/>
      <c r="G124" s="152"/>
      <c r="H124" s="152"/>
      <c r="I124" s="805" t="s">
        <v>401</v>
      </c>
      <c r="J124" s="943"/>
      <c r="K124" s="665">
        <v>0</v>
      </c>
      <c r="L124" s="260"/>
      <c r="M124" s="304"/>
      <c r="N124" s="280"/>
    </row>
    <row r="125" spans="2:14" ht="15" customHeight="1" outlineLevel="5" x14ac:dyDescent="0.2">
      <c r="B125" s="758"/>
      <c r="D125" s="259"/>
      <c r="E125" s="152"/>
      <c r="F125" s="152"/>
      <c r="G125" s="152"/>
      <c r="H125" s="152"/>
      <c r="I125" s="805" t="s">
        <v>402</v>
      </c>
      <c r="J125" s="943"/>
      <c r="K125" s="665">
        <v>0</v>
      </c>
      <c r="L125" s="260"/>
      <c r="M125" s="304"/>
      <c r="N125" s="280"/>
    </row>
    <row r="126" spans="2:14" ht="15" customHeight="1" outlineLevel="5" x14ac:dyDescent="0.2">
      <c r="B126" s="758"/>
      <c r="D126" s="259"/>
      <c r="E126" s="152"/>
      <c r="F126" s="152"/>
      <c r="G126" s="152"/>
      <c r="H126" s="152"/>
      <c r="I126" s="805" t="s">
        <v>403</v>
      </c>
      <c r="J126" s="943"/>
      <c r="K126" s="665">
        <v>0</v>
      </c>
      <c r="L126" s="260"/>
      <c r="M126" s="304"/>
      <c r="N126" s="280"/>
    </row>
    <row r="127" spans="2:14" ht="15" customHeight="1" outlineLevel="5" x14ac:dyDescent="0.2">
      <c r="B127" s="758"/>
      <c r="D127" s="259"/>
      <c r="E127" s="152"/>
      <c r="F127" s="152"/>
      <c r="G127" s="152"/>
      <c r="H127" s="152"/>
      <c r="I127" s="805" t="s">
        <v>404</v>
      </c>
      <c r="J127" s="943"/>
      <c r="K127" s="665">
        <v>0</v>
      </c>
      <c r="L127" s="260"/>
      <c r="M127" s="304"/>
      <c r="N127" s="280"/>
    </row>
    <row r="128" spans="2:14" ht="15" customHeight="1" outlineLevel="5" x14ac:dyDescent="0.2">
      <c r="B128" s="758"/>
      <c r="D128" s="259"/>
      <c r="E128" s="152"/>
      <c r="F128" s="152"/>
      <c r="G128" s="152"/>
      <c r="H128" s="152"/>
      <c r="I128" s="805" t="s">
        <v>405</v>
      </c>
      <c r="J128" s="943"/>
      <c r="K128" s="665">
        <v>0</v>
      </c>
      <c r="L128" s="260"/>
      <c r="M128" s="304"/>
      <c r="N128" s="280"/>
    </row>
    <row r="129" spans="2:14" ht="15" customHeight="1" outlineLevel="5" x14ac:dyDescent="0.2">
      <c r="B129" s="758"/>
      <c r="D129" s="259"/>
      <c r="E129" s="152"/>
      <c r="F129" s="152"/>
      <c r="G129" s="152"/>
      <c r="H129" s="152"/>
      <c r="I129" s="805" t="s">
        <v>406</v>
      </c>
      <c r="J129" s="943"/>
      <c r="K129" s="665">
        <v>0</v>
      </c>
      <c r="L129" s="260"/>
      <c r="M129" s="304"/>
      <c r="N129" s="280"/>
    </row>
    <row r="130" spans="2:14" ht="15" customHeight="1" outlineLevel="4" x14ac:dyDescent="0.2">
      <c r="B130" s="758"/>
      <c r="D130" s="259"/>
      <c r="E130" s="152"/>
      <c r="F130" s="152"/>
      <c r="G130" s="152"/>
      <c r="H130" s="941" t="s">
        <v>407</v>
      </c>
      <c r="I130" s="941"/>
      <c r="J130" s="942"/>
      <c r="K130" s="402">
        <f>SUM(K131:K141)</f>
        <v>0</v>
      </c>
      <c r="L130" s="278" t="s">
        <v>779</v>
      </c>
      <c r="M130" s="304"/>
      <c r="N130" s="280"/>
    </row>
    <row r="131" spans="2:14" ht="15" customHeight="1" outlineLevel="5" x14ac:dyDescent="0.2">
      <c r="B131" s="758"/>
      <c r="D131" s="259"/>
      <c r="E131" s="152"/>
      <c r="F131" s="152"/>
      <c r="G131" s="152"/>
      <c r="H131" s="152"/>
      <c r="I131" s="805" t="s">
        <v>408</v>
      </c>
      <c r="J131" s="943"/>
      <c r="K131" s="665">
        <v>0</v>
      </c>
      <c r="L131" s="260"/>
      <c r="M131" s="304"/>
      <c r="N131" s="280"/>
    </row>
    <row r="132" spans="2:14" ht="15" customHeight="1" outlineLevel="5" x14ac:dyDescent="0.2">
      <c r="B132" s="758"/>
      <c r="D132" s="259"/>
      <c r="E132" s="152"/>
      <c r="F132" s="152"/>
      <c r="G132" s="152"/>
      <c r="H132" s="152"/>
      <c r="I132" s="805" t="s">
        <v>409</v>
      </c>
      <c r="J132" s="943"/>
      <c r="K132" s="665">
        <v>0</v>
      </c>
      <c r="L132" s="260"/>
      <c r="M132" s="304"/>
      <c r="N132" s="280"/>
    </row>
    <row r="133" spans="2:14" ht="15" customHeight="1" outlineLevel="5" x14ac:dyDescent="0.2">
      <c r="B133" s="758"/>
      <c r="D133" s="259"/>
      <c r="E133" s="152"/>
      <c r="F133" s="152"/>
      <c r="G133" s="152"/>
      <c r="H133" s="152"/>
      <c r="I133" s="805" t="s">
        <v>410</v>
      </c>
      <c r="J133" s="943"/>
      <c r="K133" s="665">
        <v>0</v>
      </c>
      <c r="L133" s="260"/>
      <c r="M133" s="304"/>
      <c r="N133" s="280"/>
    </row>
    <row r="134" spans="2:14" ht="15" customHeight="1" outlineLevel="5" x14ac:dyDescent="0.2">
      <c r="B134" s="758"/>
      <c r="D134" s="259"/>
      <c r="E134" s="152"/>
      <c r="F134" s="152"/>
      <c r="G134" s="152"/>
      <c r="H134" s="152"/>
      <c r="I134" s="805" t="s">
        <v>411</v>
      </c>
      <c r="J134" s="943"/>
      <c r="K134" s="665">
        <v>0</v>
      </c>
      <c r="L134" s="260"/>
      <c r="M134" s="304"/>
      <c r="N134" s="280"/>
    </row>
    <row r="135" spans="2:14" ht="15" customHeight="1" outlineLevel="5" x14ac:dyDescent="0.2">
      <c r="B135" s="758"/>
      <c r="D135" s="259"/>
      <c r="E135" s="152"/>
      <c r="F135" s="152"/>
      <c r="G135" s="152"/>
      <c r="H135" s="152"/>
      <c r="I135" s="805" t="s">
        <v>412</v>
      </c>
      <c r="J135" s="943"/>
      <c r="K135" s="665">
        <v>0</v>
      </c>
      <c r="L135" s="260"/>
      <c r="M135" s="304"/>
      <c r="N135" s="280"/>
    </row>
    <row r="136" spans="2:14" ht="15" customHeight="1" outlineLevel="5" x14ac:dyDescent="0.2">
      <c r="B136" s="758"/>
      <c r="D136" s="259"/>
      <c r="E136" s="152"/>
      <c r="F136" s="152"/>
      <c r="G136" s="152"/>
      <c r="H136" s="152"/>
      <c r="I136" s="805" t="s">
        <v>413</v>
      </c>
      <c r="J136" s="943"/>
      <c r="K136" s="665">
        <v>0</v>
      </c>
      <c r="L136" s="260"/>
      <c r="M136" s="304"/>
      <c r="N136" s="280"/>
    </row>
    <row r="137" spans="2:14" ht="15" customHeight="1" outlineLevel="5" x14ac:dyDescent="0.2">
      <c r="B137" s="758"/>
      <c r="D137" s="259"/>
      <c r="E137" s="152"/>
      <c r="F137" s="152"/>
      <c r="G137" s="152"/>
      <c r="H137" s="152"/>
      <c r="I137" s="805" t="s">
        <v>414</v>
      </c>
      <c r="J137" s="943"/>
      <c r="K137" s="665">
        <v>0</v>
      </c>
      <c r="L137" s="260"/>
      <c r="M137" s="304"/>
      <c r="N137" s="280"/>
    </row>
    <row r="138" spans="2:14" ht="15" customHeight="1" outlineLevel="5" x14ac:dyDescent="0.2">
      <c r="B138" s="758"/>
      <c r="D138" s="259"/>
      <c r="E138" s="152"/>
      <c r="F138" s="152"/>
      <c r="G138" s="152"/>
      <c r="H138" s="152"/>
      <c r="I138" s="805" t="s">
        <v>415</v>
      </c>
      <c r="J138" s="943"/>
      <c r="K138" s="665">
        <v>0</v>
      </c>
      <c r="L138" s="260"/>
      <c r="M138" s="304"/>
      <c r="N138" s="280"/>
    </row>
    <row r="139" spans="2:14" ht="15" customHeight="1" outlineLevel="5" x14ac:dyDescent="0.2">
      <c r="B139" s="758"/>
      <c r="D139" s="259"/>
      <c r="E139" s="152"/>
      <c r="F139" s="152"/>
      <c r="G139" s="152"/>
      <c r="H139" s="152"/>
      <c r="I139" s="805" t="s">
        <v>416</v>
      </c>
      <c r="J139" s="943"/>
      <c r="K139" s="665">
        <v>0</v>
      </c>
      <c r="L139" s="260"/>
      <c r="M139" s="304"/>
      <c r="N139" s="280"/>
    </row>
    <row r="140" spans="2:14" ht="15" customHeight="1" outlineLevel="5" x14ac:dyDescent="0.2">
      <c r="B140" s="758"/>
      <c r="D140" s="259"/>
      <c r="E140" s="152"/>
      <c r="F140" s="152"/>
      <c r="G140" s="152"/>
      <c r="H140" s="152"/>
      <c r="I140" s="805" t="s">
        <v>417</v>
      </c>
      <c r="J140" s="943"/>
      <c r="K140" s="665">
        <v>0</v>
      </c>
      <c r="L140" s="260"/>
      <c r="M140" s="304"/>
      <c r="N140" s="280"/>
    </row>
    <row r="141" spans="2:14" ht="15" customHeight="1" outlineLevel="5" x14ac:dyDescent="0.2">
      <c r="B141" s="758"/>
      <c r="D141" s="259"/>
      <c r="E141" s="152"/>
      <c r="F141" s="152"/>
      <c r="G141" s="152"/>
      <c r="H141" s="152"/>
      <c r="I141" s="805" t="s">
        <v>418</v>
      </c>
      <c r="J141" s="943"/>
      <c r="K141" s="665">
        <v>0</v>
      </c>
      <c r="L141" s="260"/>
      <c r="M141" s="304"/>
      <c r="N141" s="280"/>
    </row>
    <row r="142" spans="2:14" outlineLevel="3" x14ac:dyDescent="0.2">
      <c r="B142" s="758"/>
      <c r="D142" s="259"/>
      <c r="E142" s="152"/>
      <c r="F142" s="152"/>
      <c r="G142" s="941" t="s">
        <v>419</v>
      </c>
      <c r="H142" s="941"/>
      <c r="I142" s="941"/>
      <c r="J142" s="942"/>
      <c r="K142" s="402">
        <f>SUM(K143,K144,K147,K148,K156,K161,K162)</f>
        <v>0</v>
      </c>
      <c r="L142" s="278" t="s">
        <v>780</v>
      </c>
      <c r="M142" s="304"/>
      <c r="N142" s="280"/>
    </row>
    <row r="143" spans="2:14" ht="15" customHeight="1" outlineLevel="4" x14ac:dyDescent="0.2">
      <c r="B143" s="758"/>
      <c r="D143" s="259"/>
      <c r="E143" s="152"/>
      <c r="F143" s="152"/>
      <c r="G143" s="152"/>
      <c r="H143" s="805" t="s">
        <v>420</v>
      </c>
      <c r="I143" s="805"/>
      <c r="J143" s="943"/>
      <c r="K143" s="665">
        <v>0</v>
      </c>
      <c r="L143" s="260"/>
      <c r="M143" s="304"/>
      <c r="N143" s="280"/>
    </row>
    <row r="144" spans="2:14" ht="15" customHeight="1" outlineLevel="4" x14ac:dyDescent="0.2">
      <c r="B144" s="758"/>
      <c r="D144" s="259"/>
      <c r="E144" s="152"/>
      <c r="F144" s="152"/>
      <c r="G144" s="152"/>
      <c r="H144" s="805" t="s">
        <v>421</v>
      </c>
      <c r="I144" s="805"/>
      <c r="J144" s="943"/>
      <c r="K144" s="402">
        <f>SUM(K145:K146)</f>
        <v>0</v>
      </c>
      <c r="L144" s="278" t="s">
        <v>781</v>
      </c>
      <c r="M144" s="304"/>
      <c r="N144" s="280"/>
    </row>
    <row r="145" spans="2:14" ht="15" customHeight="1" outlineLevel="5" x14ac:dyDescent="0.2">
      <c r="B145" s="758"/>
      <c r="D145" s="259"/>
      <c r="E145" s="152"/>
      <c r="F145" s="152"/>
      <c r="G145" s="152"/>
      <c r="H145" s="152"/>
      <c r="I145" s="805" t="s">
        <v>422</v>
      </c>
      <c r="J145" s="943"/>
      <c r="K145" s="665">
        <v>0</v>
      </c>
      <c r="L145" s="260"/>
      <c r="M145" s="304"/>
      <c r="N145" s="280"/>
    </row>
    <row r="146" spans="2:14" ht="15" customHeight="1" outlineLevel="5" x14ac:dyDescent="0.2">
      <c r="B146" s="758"/>
      <c r="D146" s="259"/>
      <c r="E146" s="152"/>
      <c r="F146" s="152"/>
      <c r="G146" s="152"/>
      <c r="H146" s="152"/>
      <c r="I146" s="805" t="s">
        <v>423</v>
      </c>
      <c r="J146" s="943"/>
      <c r="K146" s="665">
        <v>0</v>
      </c>
      <c r="L146" s="260"/>
      <c r="M146" s="304"/>
      <c r="N146" s="280"/>
    </row>
    <row r="147" spans="2:14" ht="15" customHeight="1" outlineLevel="4" x14ac:dyDescent="0.2">
      <c r="B147" s="758"/>
      <c r="D147" s="259"/>
      <c r="E147" s="152"/>
      <c r="F147" s="152"/>
      <c r="G147" s="152"/>
      <c r="H147" s="941" t="s">
        <v>424</v>
      </c>
      <c r="I147" s="941"/>
      <c r="J147" s="942"/>
      <c r="K147" s="665">
        <v>0</v>
      </c>
      <c r="L147" s="260"/>
      <c r="M147" s="304"/>
      <c r="N147" s="280"/>
    </row>
    <row r="148" spans="2:14" ht="15" customHeight="1" outlineLevel="4" x14ac:dyDescent="0.2">
      <c r="B148" s="758"/>
      <c r="D148" s="259"/>
      <c r="E148" s="152"/>
      <c r="F148" s="152"/>
      <c r="G148" s="152"/>
      <c r="H148" s="805" t="s">
        <v>425</v>
      </c>
      <c r="I148" s="805"/>
      <c r="J148" s="943"/>
      <c r="K148" s="402">
        <f>SUM(K149:K155)</f>
        <v>0</v>
      </c>
      <c r="L148" s="278" t="s">
        <v>782</v>
      </c>
      <c r="M148" s="304"/>
      <c r="N148" s="280"/>
    </row>
    <row r="149" spans="2:14" ht="15" customHeight="1" outlineLevel="5" x14ac:dyDescent="0.2">
      <c r="B149" s="758"/>
      <c r="D149" s="259"/>
      <c r="E149" s="152"/>
      <c r="F149" s="152"/>
      <c r="G149" s="152"/>
      <c r="H149" s="152"/>
      <c r="I149" s="805" t="s">
        <v>426</v>
      </c>
      <c r="J149" s="943"/>
      <c r="K149" s="665">
        <v>0</v>
      </c>
      <c r="L149" s="260"/>
      <c r="M149" s="304"/>
      <c r="N149" s="280"/>
    </row>
    <row r="150" spans="2:14" ht="15" customHeight="1" outlineLevel="5" x14ac:dyDescent="0.2">
      <c r="B150" s="758"/>
      <c r="D150" s="259"/>
      <c r="E150" s="152"/>
      <c r="F150" s="152"/>
      <c r="G150" s="152"/>
      <c r="H150" s="152"/>
      <c r="I150" s="805" t="s">
        <v>427</v>
      </c>
      <c r="J150" s="943"/>
      <c r="K150" s="665">
        <v>0</v>
      </c>
      <c r="L150" s="260"/>
      <c r="M150" s="304"/>
      <c r="N150" s="280"/>
    </row>
    <row r="151" spans="2:14" ht="15" customHeight="1" outlineLevel="5" x14ac:dyDescent="0.2">
      <c r="B151" s="758"/>
      <c r="D151" s="259"/>
      <c r="E151" s="152"/>
      <c r="F151" s="152"/>
      <c r="G151" s="152"/>
      <c r="H151" s="152"/>
      <c r="I151" s="805" t="s">
        <v>428</v>
      </c>
      <c r="J151" s="943"/>
      <c r="K151" s="665">
        <v>0</v>
      </c>
      <c r="L151" s="260"/>
      <c r="M151" s="304"/>
      <c r="N151" s="280"/>
    </row>
    <row r="152" spans="2:14" ht="15" customHeight="1" outlineLevel="5" x14ac:dyDescent="0.2">
      <c r="B152" s="758"/>
      <c r="D152" s="259"/>
      <c r="E152" s="152"/>
      <c r="F152" s="152"/>
      <c r="G152" s="152"/>
      <c r="H152" s="152"/>
      <c r="I152" s="805" t="s">
        <v>429</v>
      </c>
      <c r="J152" s="943"/>
      <c r="K152" s="665">
        <v>0</v>
      </c>
      <c r="L152" s="260"/>
      <c r="M152" s="304"/>
      <c r="N152" s="280"/>
    </row>
    <row r="153" spans="2:14" ht="15" customHeight="1" outlineLevel="5" x14ac:dyDescent="0.2">
      <c r="B153" s="758"/>
      <c r="D153" s="259"/>
      <c r="E153" s="152"/>
      <c r="F153" s="152"/>
      <c r="G153" s="152"/>
      <c r="H153" s="152"/>
      <c r="I153" s="805" t="s">
        <v>430</v>
      </c>
      <c r="J153" s="943"/>
      <c r="K153" s="665">
        <v>0</v>
      </c>
      <c r="L153" s="260"/>
      <c r="M153" s="304"/>
      <c r="N153" s="280"/>
    </row>
    <row r="154" spans="2:14" ht="15" customHeight="1" outlineLevel="5" x14ac:dyDescent="0.2">
      <c r="B154" s="758"/>
      <c r="D154" s="259"/>
      <c r="E154" s="152"/>
      <c r="F154" s="152"/>
      <c r="G154" s="152"/>
      <c r="H154" s="152"/>
      <c r="I154" s="805" t="s">
        <v>431</v>
      </c>
      <c r="J154" s="943"/>
      <c r="K154" s="665">
        <v>0</v>
      </c>
      <c r="L154" s="260"/>
      <c r="M154" s="304"/>
      <c r="N154" s="280"/>
    </row>
    <row r="155" spans="2:14" ht="15" customHeight="1" outlineLevel="5" x14ac:dyDescent="0.2">
      <c r="B155" s="758"/>
      <c r="D155" s="259"/>
      <c r="E155" s="152"/>
      <c r="F155" s="152"/>
      <c r="G155" s="152"/>
      <c r="H155" s="152"/>
      <c r="I155" s="805" t="s">
        <v>432</v>
      </c>
      <c r="J155" s="943"/>
      <c r="K155" s="665">
        <v>0</v>
      </c>
      <c r="L155" s="260"/>
      <c r="M155" s="304"/>
      <c r="N155" s="280"/>
    </row>
    <row r="156" spans="2:14" ht="15" customHeight="1" outlineLevel="4" x14ac:dyDescent="0.2">
      <c r="B156" s="758"/>
      <c r="D156" s="259"/>
      <c r="E156" s="152"/>
      <c r="F156" s="152"/>
      <c r="G156" s="152"/>
      <c r="H156" s="941" t="s">
        <v>433</v>
      </c>
      <c r="I156" s="941"/>
      <c r="J156" s="942"/>
      <c r="K156" s="402">
        <f>SUM(K157:K160)</f>
        <v>0</v>
      </c>
      <c r="L156" s="278" t="s">
        <v>783</v>
      </c>
      <c r="M156" s="304"/>
      <c r="N156" s="280"/>
    </row>
    <row r="157" spans="2:14" ht="15" customHeight="1" outlineLevel="5" x14ac:dyDescent="0.2">
      <c r="B157" s="758"/>
      <c r="D157" s="259"/>
      <c r="E157" s="152"/>
      <c r="F157" s="152"/>
      <c r="G157" s="152"/>
      <c r="H157" s="152"/>
      <c r="I157" s="805" t="s">
        <v>434</v>
      </c>
      <c r="J157" s="943"/>
      <c r="K157" s="665">
        <v>0</v>
      </c>
      <c r="L157" s="260"/>
      <c r="M157" s="304"/>
      <c r="N157" s="280"/>
    </row>
    <row r="158" spans="2:14" ht="15" customHeight="1" outlineLevel="5" x14ac:dyDescent="0.2">
      <c r="B158" s="758"/>
      <c r="D158" s="259"/>
      <c r="E158" s="152"/>
      <c r="F158" s="152"/>
      <c r="G158" s="152"/>
      <c r="H158" s="152"/>
      <c r="I158" s="805" t="s">
        <v>435</v>
      </c>
      <c r="J158" s="943"/>
      <c r="K158" s="665">
        <v>0</v>
      </c>
      <c r="L158" s="260"/>
      <c r="M158" s="304"/>
      <c r="N158" s="280"/>
    </row>
    <row r="159" spans="2:14" ht="15" customHeight="1" outlineLevel="5" x14ac:dyDescent="0.2">
      <c r="B159" s="758"/>
      <c r="D159" s="259"/>
      <c r="E159" s="152"/>
      <c r="F159" s="152"/>
      <c r="G159" s="152"/>
      <c r="H159" s="152"/>
      <c r="I159" s="805" t="s">
        <v>436</v>
      </c>
      <c r="J159" s="943"/>
      <c r="K159" s="665">
        <v>0</v>
      </c>
      <c r="L159" s="260"/>
      <c r="M159" s="304"/>
      <c r="N159" s="280"/>
    </row>
    <row r="160" spans="2:14" ht="15" customHeight="1" outlineLevel="5" x14ac:dyDescent="0.2">
      <c r="B160" s="758"/>
      <c r="D160" s="259"/>
      <c r="E160" s="152"/>
      <c r="F160" s="152"/>
      <c r="G160" s="152"/>
      <c r="H160" s="152"/>
      <c r="I160" s="805" t="s">
        <v>437</v>
      </c>
      <c r="J160" s="943"/>
      <c r="K160" s="665">
        <v>0</v>
      </c>
      <c r="L160" s="260"/>
      <c r="M160" s="304"/>
      <c r="N160" s="280"/>
    </row>
    <row r="161" spans="2:14" ht="15" customHeight="1" outlineLevel="4" x14ac:dyDescent="0.2">
      <c r="B161" s="758"/>
      <c r="D161" s="259"/>
      <c r="E161" s="152"/>
      <c r="F161" s="152"/>
      <c r="G161" s="152"/>
      <c r="H161" s="941" t="s">
        <v>438</v>
      </c>
      <c r="I161" s="941"/>
      <c r="J161" s="942"/>
      <c r="K161" s="665">
        <v>0</v>
      </c>
      <c r="L161" s="260"/>
      <c r="M161" s="304"/>
      <c r="N161" s="280"/>
    </row>
    <row r="162" spans="2:14" ht="15" customHeight="1" outlineLevel="4" x14ac:dyDescent="0.2">
      <c r="B162" s="758"/>
      <c r="D162" s="259"/>
      <c r="E162" s="152"/>
      <c r="F162" s="152"/>
      <c r="G162" s="152"/>
      <c r="H162" s="805" t="s">
        <v>439</v>
      </c>
      <c r="I162" s="805"/>
      <c r="J162" s="943"/>
      <c r="K162" s="665">
        <v>0</v>
      </c>
      <c r="L162" s="260"/>
      <c r="M162" s="304"/>
      <c r="N162" s="280"/>
    </row>
    <row r="163" spans="2:14" ht="15" customHeight="1" outlineLevel="3" x14ac:dyDescent="0.2">
      <c r="B163" s="758"/>
      <c r="D163" s="259"/>
      <c r="E163" s="152"/>
      <c r="F163" s="152"/>
      <c r="G163" s="941" t="s">
        <v>440</v>
      </c>
      <c r="H163" s="941"/>
      <c r="I163" s="941"/>
      <c r="J163" s="942"/>
      <c r="K163" s="402">
        <f>SUM(K164:K167,K171)</f>
        <v>0</v>
      </c>
      <c r="L163" s="278" t="s">
        <v>784</v>
      </c>
      <c r="M163" s="304"/>
      <c r="N163" s="280"/>
    </row>
    <row r="164" spans="2:14" ht="15" customHeight="1" outlineLevel="4" x14ac:dyDescent="0.2">
      <c r="B164" s="758"/>
      <c r="D164" s="259"/>
      <c r="E164" s="152"/>
      <c r="F164" s="152"/>
      <c r="G164" s="152"/>
      <c r="H164" s="805" t="s">
        <v>441</v>
      </c>
      <c r="I164" s="805"/>
      <c r="J164" s="943"/>
      <c r="K164" s="665">
        <v>0</v>
      </c>
      <c r="L164" s="260"/>
      <c r="M164" s="304"/>
      <c r="N164" s="280"/>
    </row>
    <row r="165" spans="2:14" ht="15" customHeight="1" outlineLevel="4" x14ac:dyDescent="0.2">
      <c r="B165" s="758"/>
      <c r="D165" s="259"/>
      <c r="E165" s="152"/>
      <c r="F165" s="152"/>
      <c r="G165" s="152"/>
      <c r="H165" s="805" t="s">
        <v>442</v>
      </c>
      <c r="I165" s="805"/>
      <c r="J165" s="943"/>
      <c r="K165" s="665">
        <v>0</v>
      </c>
      <c r="L165" s="260"/>
      <c r="M165" s="304"/>
      <c r="N165" s="280"/>
    </row>
    <row r="166" spans="2:14" ht="15" customHeight="1" outlineLevel="4" x14ac:dyDescent="0.2">
      <c r="B166" s="758"/>
      <c r="D166" s="259"/>
      <c r="E166" s="152"/>
      <c r="F166" s="152"/>
      <c r="G166" s="152"/>
      <c r="H166" s="805" t="s">
        <v>443</v>
      </c>
      <c r="I166" s="805"/>
      <c r="J166" s="943"/>
      <c r="K166" s="665">
        <v>0</v>
      </c>
      <c r="L166" s="260"/>
      <c r="M166" s="304"/>
      <c r="N166" s="280"/>
    </row>
    <row r="167" spans="2:14" ht="15" customHeight="1" outlineLevel="4" x14ac:dyDescent="0.2">
      <c r="B167" s="758"/>
      <c r="D167" s="259"/>
      <c r="E167" s="152"/>
      <c r="F167" s="152"/>
      <c r="G167" s="152"/>
      <c r="H167" s="805" t="s">
        <v>444</v>
      </c>
      <c r="I167" s="805"/>
      <c r="J167" s="943"/>
      <c r="K167" s="402">
        <f>SUM(K168:K170)</f>
        <v>0</v>
      </c>
      <c r="L167" s="278" t="s">
        <v>785</v>
      </c>
      <c r="M167" s="304"/>
      <c r="N167" s="280"/>
    </row>
    <row r="168" spans="2:14" ht="15" customHeight="1" outlineLevel="5" x14ac:dyDescent="0.2">
      <c r="B168" s="758"/>
      <c r="D168" s="259"/>
      <c r="E168" s="152"/>
      <c r="F168" s="152"/>
      <c r="G168" s="152"/>
      <c r="H168" s="152"/>
      <c r="I168" s="805" t="s">
        <v>445</v>
      </c>
      <c r="J168" s="943"/>
      <c r="K168" s="665">
        <v>0</v>
      </c>
      <c r="L168" s="260"/>
      <c r="M168" s="304"/>
      <c r="N168" s="280"/>
    </row>
    <row r="169" spans="2:14" ht="15" customHeight="1" outlineLevel="5" x14ac:dyDescent="0.2">
      <c r="B169" s="758"/>
      <c r="D169" s="259"/>
      <c r="E169" s="152"/>
      <c r="F169" s="152"/>
      <c r="G169" s="152"/>
      <c r="H169" s="152"/>
      <c r="I169" s="805" t="s">
        <v>446</v>
      </c>
      <c r="J169" s="943"/>
      <c r="K169" s="665">
        <v>0</v>
      </c>
      <c r="L169" s="260"/>
      <c r="M169" s="304"/>
      <c r="N169" s="280"/>
    </row>
    <row r="170" spans="2:14" ht="15" customHeight="1" outlineLevel="5" x14ac:dyDescent="0.2">
      <c r="B170" s="758"/>
      <c r="D170" s="259"/>
      <c r="E170" s="152"/>
      <c r="F170" s="152"/>
      <c r="G170" s="152"/>
      <c r="H170" s="152"/>
      <c r="I170" s="805" t="s">
        <v>447</v>
      </c>
      <c r="J170" s="943"/>
      <c r="K170" s="665">
        <v>0</v>
      </c>
      <c r="L170" s="260"/>
      <c r="M170" s="304"/>
      <c r="N170" s="280"/>
    </row>
    <row r="171" spans="2:14" ht="15" customHeight="1" outlineLevel="4" x14ac:dyDescent="0.2">
      <c r="B171" s="758"/>
      <c r="D171" s="259"/>
      <c r="E171" s="152"/>
      <c r="F171" s="152"/>
      <c r="G171" s="152"/>
      <c r="H171" s="941" t="s">
        <v>448</v>
      </c>
      <c r="I171" s="941"/>
      <c r="J171" s="942"/>
      <c r="K171" s="665">
        <v>0</v>
      </c>
      <c r="L171" s="260"/>
      <c r="M171" s="304"/>
      <c r="N171" s="280"/>
    </row>
    <row r="172" spans="2:14" s="89" customFormat="1" outlineLevel="2" x14ac:dyDescent="0.2">
      <c r="B172" s="758"/>
      <c r="D172" s="259"/>
      <c r="E172" s="152"/>
      <c r="F172" s="941" t="s">
        <v>449</v>
      </c>
      <c r="G172" s="941"/>
      <c r="H172" s="941"/>
      <c r="I172" s="941"/>
      <c r="J172" s="942"/>
      <c r="K172" s="665">
        <v>0</v>
      </c>
      <c r="L172" s="260"/>
      <c r="M172" s="304"/>
      <c r="N172" s="288"/>
    </row>
    <row r="173" spans="2:14" s="89" customFormat="1" outlineLevel="2" x14ac:dyDescent="0.2">
      <c r="B173" s="758"/>
      <c r="D173" s="259"/>
      <c r="E173" s="152"/>
      <c r="F173" s="805" t="s">
        <v>450</v>
      </c>
      <c r="G173" s="805"/>
      <c r="H173" s="805"/>
      <c r="I173" s="805"/>
      <c r="J173" s="943"/>
      <c r="K173" s="402">
        <f>SUM(K174,K180:K182)</f>
        <v>0</v>
      </c>
      <c r="L173" s="278" t="s">
        <v>786</v>
      </c>
      <c r="M173" s="304"/>
      <c r="N173" s="288"/>
    </row>
    <row r="174" spans="2:14" ht="15" customHeight="1" outlineLevel="3" x14ac:dyDescent="0.2">
      <c r="B174" s="758"/>
      <c r="D174" s="259"/>
      <c r="E174" s="152"/>
      <c r="F174" s="152"/>
      <c r="G174" s="805" t="s">
        <v>451</v>
      </c>
      <c r="H174" s="805"/>
      <c r="I174" s="805"/>
      <c r="J174" s="943"/>
      <c r="K174" s="402">
        <f>SUM(K175:K179)</f>
        <v>0</v>
      </c>
      <c r="L174" s="278" t="s">
        <v>720</v>
      </c>
      <c r="M174" s="304"/>
      <c r="N174" s="280"/>
    </row>
    <row r="175" spans="2:14" ht="15" customHeight="1" outlineLevel="4" x14ac:dyDescent="0.2">
      <c r="B175" s="758"/>
      <c r="D175" s="259"/>
      <c r="E175" s="152"/>
      <c r="F175" s="152"/>
      <c r="G175" s="152"/>
      <c r="H175" s="805" t="s">
        <v>452</v>
      </c>
      <c r="I175" s="805"/>
      <c r="J175" s="943"/>
      <c r="K175" s="665">
        <v>0</v>
      </c>
      <c r="L175" s="260"/>
      <c r="M175" s="304"/>
      <c r="N175" s="280"/>
    </row>
    <row r="176" spans="2:14" ht="15" customHeight="1" outlineLevel="4" x14ac:dyDescent="0.2">
      <c r="B176" s="758"/>
      <c r="D176" s="259"/>
      <c r="E176" s="152"/>
      <c r="F176" s="152"/>
      <c r="G176" s="152"/>
      <c r="H176" s="805" t="s">
        <v>453</v>
      </c>
      <c r="I176" s="805"/>
      <c r="J176" s="943"/>
      <c r="K176" s="665">
        <v>0</v>
      </c>
      <c r="L176" s="260"/>
      <c r="M176" s="304"/>
      <c r="N176" s="280"/>
    </row>
    <row r="177" spans="2:14" ht="15" customHeight="1" outlineLevel="4" x14ac:dyDescent="0.2">
      <c r="B177" s="758"/>
      <c r="D177" s="259"/>
      <c r="E177" s="152"/>
      <c r="F177" s="152"/>
      <c r="G177" s="152"/>
      <c r="H177" s="805" t="s">
        <v>454</v>
      </c>
      <c r="I177" s="805"/>
      <c r="J177" s="943"/>
      <c r="K177" s="665">
        <v>0</v>
      </c>
      <c r="L177" s="260"/>
      <c r="M177" s="304"/>
      <c r="N177" s="280"/>
    </row>
    <row r="178" spans="2:14" ht="15" customHeight="1" outlineLevel="4" x14ac:dyDescent="0.2">
      <c r="B178" s="758"/>
      <c r="D178" s="259"/>
      <c r="E178" s="152"/>
      <c r="F178" s="152"/>
      <c r="G178" s="152"/>
      <c r="H178" s="805" t="s">
        <v>455</v>
      </c>
      <c r="I178" s="805"/>
      <c r="J178" s="943"/>
      <c r="K178" s="665">
        <v>0</v>
      </c>
      <c r="L178" s="260"/>
      <c r="M178" s="304"/>
      <c r="N178" s="280"/>
    </row>
    <row r="179" spans="2:14" ht="15" customHeight="1" outlineLevel="4" x14ac:dyDescent="0.2">
      <c r="B179" s="758"/>
      <c r="D179" s="259"/>
      <c r="E179" s="152"/>
      <c r="F179" s="152"/>
      <c r="G179" s="152"/>
      <c r="H179" s="805" t="s">
        <v>456</v>
      </c>
      <c r="I179" s="805"/>
      <c r="J179" s="943"/>
      <c r="K179" s="665">
        <v>0</v>
      </c>
      <c r="L179" s="260"/>
      <c r="M179" s="304"/>
      <c r="N179" s="280"/>
    </row>
    <row r="180" spans="2:14" ht="15" customHeight="1" outlineLevel="3" x14ac:dyDescent="0.2">
      <c r="B180" s="758"/>
      <c r="D180" s="259"/>
      <c r="E180" s="152"/>
      <c r="F180" s="152"/>
      <c r="G180" s="941" t="s">
        <v>457</v>
      </c>
      <c r="H180" s="941"/>
      <c r="I180" s="941"/>
      <c r="J180" s="942"/>
      <c r="K180" s="665">
        <v>0</v>
      </c>
      <c r="L180" s="260"/>
      <c r="M180" s="304"/>
      <c r="N180" s="280"/>
    </row>
    <row r="181" spans="2:14" ht="15" customHeight="1" outlineLevel="3" x14ac:dyDescent="0.2">
      <c r="B181" s="758"/>
      <c r="D181" s="259"/>
      <c r="E181" s="152"/>
      <c r="F181" s="152"/>
      <c r="G181" s="805" t="s">
        <v>458</v>
      </c>
      <c r="H181" s="805"/>
      <c r="I181" s="805"/>
      <c r="J181" s="943"/>
      <c r="K181" s="665">
        <v>0</v>
      </c>
      <c r="L181" s="260"/>
      <c r="M181" s="304"/>
      <c r="N181" s="280"/>
    </row>
    <row r="182" spans="2:14" ht="48" customHeight="1" outlineLevel="3" x14ac:dyDescent="0.2">
      <c r="B182" s="758"/>
      <c r="D182" s="259"/>
      <c r="E182" s="152"/>
      <c r="F182" s="152"/>
      <c r="G182" s="805" t="s">
        <v>459</v>
      </c>
      <c r="H182" s="805"/>
      <c r="I182" s="805"/>
      <c r="J182" s="943"/>
      <c r="K182" s="402">
        <f>SUM(K183:K185)</f>
        <v>0</v>
      </c>
      <c r="L182" s="278" t="s">
        <v>787</v>
      </c>
      <c r="M182" s="304" t="s">
        <v>657</v>
      </c>
      <c r="N182" s="280"/>
    </row>
    <row r="183" spans="2:14" ht="15" customHeight="1" outlineLevel="4" x14ac:dyDescent="0.2">
      <c r="B183" s="758"/>
      <c r="D183" s="259"/>
      <c r="E183" s="152"/>
      <c r="F183" s="152"/>
      <c r="G183" s="152"/>
      <c r="H183" s="805" t="s">
        <v>460</v>
      </c>
      <c r="I183" s="805"/>
      <c r="J183" s="943"/>
      <c r="K183" s="665">
        <v>0</v>
      </c>
      <c r="L183" s="260"/>
      <c r="M183" s="304"/>
      <c r="N183" s="280"/>
    </row>
    <row r="184" spans="2:14" ht="15" customHeight="1" outlineLevel="4" x14ac:dyDescent="0.2">
      <c r="B184" s="758"/>
      <c r="D184" s="259"/>
      <c r="E184" s="152"/>
      <c r="F184" s="152"/>
      <c r="G184" s="152"/>
      <c r="H184" s="805" t="s">
        <v>461</v>
      </c>
      <c r="I184" s="805"/>
      <c r="J184" s="943"/>
      <c r="K184" s="665">
        <v>0</v>
      </c>
      <c r="L184" s="260"/>
      <c r="M184" s="304"/>
      <c r="N184" s="280"/>
    </row>
    <row r="185" spans="2:14" ht="15" customHeight="1" outlineLevel="4" x14ac:dyDescent="0.2">
      <c r="B185" s="758"/>
      <c r="D185" s="259"/>
      <c r="E185" s="152"/>
      <c r="F185" s="152"/>
      <c r="G185" s="152"/>
      <c r="H185" s="805" t="s">
        <v>462</v>
      </c>
      <c r="I185" s="805"/>
      <c r="J185" s="943"/>
      <c r="K185" s="665">
        <v>0</v>
      </c>
      <c r="L185" s="260"/>
      <c r="M185" s="304"/>
      <c r="N185" s="280"/>
    </row>
    <row r="186" spans="2:14" s="89" customFormat="1" ht="16" outlineLevel="2" x14ac:dyDescent="0.2">
      <c r="B186" s="758"/>
      <c r="D186" s="259"/>
      <c r="E186" s="152"/>
      <c r="F186" s="941" t="s">
        <v>463</v>
      </c>
      <c r="G186" s="941"/>
      <c r="H186" s="941"/>
      <c r="I186" s="941"/>
      <c r="J186" s="942"/>
      <c r="K186" s="402">
        <f>SUM(K187,K192,K195,K213,K217)</f>
        <v>6480</v>
      </c>
      <c r="L186" s="278" t="s">
        <v>788</v>
      </c>
      <c r="M186" s="304" t="s">
        <v>661</v>
      </c>
      <c r="N186" s="288"/>
    </row>
    <row r="187" spans="2:14" outlineLevel="3" x14ac:dyDescent="0.2">
      <c r="B187" s="758"/>
      <c r="D187" s="259"/>
      <c r="E187" s="152"/>
      <c r="F187" s="152"/>
      <c r="G187" s="805" t="s">
        <v>464</v>
      </c>
      <c r="H187" s="805"/>
      <c r="I187" s="805"/>
      <c r="J187" s="943"/>
      <c r="K187" s="402">
        <f>SUM(K188:K191)</f>
        <v>0</v>
      </c>
      <c r="L187" s="278" t="s">
        <v>789</v>
      </c>
      <c r="M187" s="304"/>
      <c r="N187" s="280"/>
    </row>
    <row r="188" spans="2:14" ht="15" customHeight="1" outlineLevel="4" x14ac:dyDescent="0.2">
      <c r="B188" s="758"/>
      <c r="D188" s="259"/>
      <c r="E188" s="152"/>
      <c r="F188" s="152"/>
      <c r="G188" s="152"/>
      <c r="H188" s="805" t="s">
        <v>465</v>
      </c>
      <c r="I188" s="805"/>
      <c r="J188" s="943"/>
      <c r="K188" s="665">
        <v>0</v>
      </c>
      <c r="L188" s="260"/>
      <c r="M188" s="304"/>
      <c r="N188" s="280"/>
    </row>
    <row r="189" spans="2:14" ht="15" customHeight="1" outlineLevel="4" x14ac:dyDescent="0.2">
      <c r="B189" s="758"/>
      <c r="D189" s="259"/>
      <c r="E189" s="152"/>
      <c r="F189" s="152"/>
      <c r="G189" s="152"/>
      <c r="H189" s="805" t="s">
        <v>466</v>
      </c>
      <c r="I189" s="805"/>
      <c r="J189" s="943"/>
      <c r="K189" s="665">
        <v>0</v>
      </c>
      <c r="L189" s="260"/>
      <c r="M189" s="304"/>
      <c r="N189" s="280"/>
    </row>
    <row r="190" spans="2:14" ht="15" customHeight="1" outlineLevel="4" x14ac:dyDescent="0.2">
      <c r="B190" s="758"/>
      <c r="D190" s="259"/>
      <c r="E190" s="152"/>
      <c r="F190" s="152"/>
      <c r="G190" s="152"/>
      <c r="H190" s="805" t="s">
        <v>468</v>
      </c>
      <c r="I190" s="805"/>
      <c r="J190" s="943"/>
      <c r="K190" s="665">
        <v>0</v>
      </c>
      <c r="L190" s="260"/>
      <c r="M190" s="304"/>
      <c r="N190" s="280"/>
    </row>
    <row r="191" spans="2:14" ht="15" customHeight="1" outlineLevel="4" x14ac:dyDescent="0.2">
      <c r="B191" s="758"/>
      <c r="D191" s="259"/>
      <c r="E191" s="152"/>
      <c r="F191" s="152"/>
      <c r="G191" s="152"/>
      <c r="H191" s="805" t="s">
        <v>467</v>
      </c>
      <c r="I191" s="805"/>
      <c r="J191" s="943"/>
      <c r="K191" s="665">
        <v>0</v>
      </c>
      <c r="L191" s="260"/>
      <c r="M191" s="304"/>
      <c r="N191" s="280"/>
    </row>
    <row r="192" spans="2:14" outlineLevel="3" x14ac:dyDescent="0.2">
      <c r="B192" s="758"/>
      <c r="D192" s="259"/>
      <c r="E192" s="152"/>
      <c r="F192" s="152"/>
      <c r="G192" s="941" t="s">
        <v>800</v>
      </c>
      <c r="H192" s="941"/>
      <c r="I192" s="941"/>
      <c r="J192" s="942"/>
      <c r="K192" s="402">
        <f>SUM(K193:K194)</f>
        <v>6480</v>
      </c>
      <c r="L192" s="278" t="s">
        <v>790</v>
      </c>
      <c r="M192" s="304"/>
      <c r="N192" s="280"/>
    </row>
    <row r="193" spans="2:14" ht="32" outlineLevel="4" x14ac:dyDescent="0.2">
      <c r="B193" s="758"/>
      <c r="D193" s="259"/>
      <c r="E193" s="152"/>
      <c r="F193" s="152"/>
      <c r="G193" s="152"/>
      <c r="H193" s="805" t="s">
        <v>470</v>
      </c>
      <c r="I193" s="805"/>
      <c r="J193" s="943"/>
      <c r="K193" s="665">
        <f>45*24*3</f>
        <v>3240</v>
      </c>
      <c r="L193" s="278" t="s">
        <v>634</v>
      </c>
      <c r="M193" s="304" t="s">
        <v>658</v>
      </c>
      <c r="N193" s="280"/>
    </row>
    <row r="194" spans="2:14" ht="32" outlineLevel="4" x14ac:dyDescent="0.2">
      <c r="B194" s="758"/>
      <c r="D194" s="259"/>
      <c r="E194" s="152"/>
      <c r="F194" s="152"/>
      <c r="G194" s="152"/>
      <c r="H194" s="805" t="s">
        <v>471</v>
      </c>
      <c r="I194" s="805"/>
      <c r="J194" s="943"/>
      <c r="K194" s="665">
        <f>45*24*3</f>
        <v>3240</v>
      </c>
      <c r="L194" s="278" t="s">
        <v>634</v>
      </c>
      <c r="M194" s="304" t="s">
        <v>658</v>
      </c>
      <c r="N194" s="280"/>
    </row>
    <row r="195" spans="2:14" outlineLevel="3" x14ac:dyDescent="0.2">
      <c r="B195" s="758"/>
      <c r="D195" s="259"/>
      <c r="E195" s="152"/>
      <c r="F195" s="152"/>
      <c r="G195" s="941" t="s">
        <v>472</v>
      </c>
      <c r="H195" s="941"/>
      <c r="I195" s="941"/>
      <c r="J195" s="942"/>
      <c r="K195" s="402">
        <f>SUM(K196,K201,K207,K210)</f>
        <v>0</v>
      </c>
      <c r="L195" s="278" t="s">
        <v>791</v>
      </c>
      <c r="M195" s="304"/>
      <c r="N195" s="280"/>
    </row>
    <row r="196" spans="2:14" ht="15" customHeight="1" outlineLevel="4" x14ac:dyDescent="0.2">
      <c r="B196" s="758"/>
      <c r="D196" s="259"/>
      <c r="E196" s="152"/>
      <c r="F196" s="152"/>
      <c r="G196" s="152"/>
      <c r="H196" s="805" t="s">
        <v>473</v>
      </c>
      <c r="I196" s="805"/>
      <c r="J196" s="943"/>
      <c r="K196" s="402">
        <f>SUM(K197:K200)</f>
        <v>0</v>
      </c>
      <c r="L196" s="278" t="s">
        <v>792</v>
      </c>
      <c r="M196" s="304"/>
      <c r="N196" s="280"/>
    </row>
    <row r="197" spans="2:14" ht="15" customHeight="1" outlineLevel="5" x14ac:dyDescent="0.2">
      <c r="B197" s="758"/>
      <c r="D197" s="259"/>
      <c r="E197" s="152"/>
      <c r="F197" s="152"/>
      <c r="G197" s="152"/>
      <c r="H197" s="152"/>
      <c r="I197" s="805" t="s">
        <v>474</v>
      </c>
      <c r="J197" s="943"/>
      <c r="K197" s="665">
        <v>0</v>
      </c>
      <c r="L197" s="260"/>
      <c r="M197" s="304"/>
      <c r="N197" s="280"/>
    </row>
    <row r="198" spans="2:14" ht="15" customHeight="1" outlineLevel="5" x14ac:dyDescent="0.2">
      <c r="B198" s="758"/>
      <c r="D198" s="259"/>
      <c r="E198" s="152"/>
      <c r="F198" s="152"/>
      <c r="G198" s="152"/>
      <c r="H198" s="152"/>
      <c r="I198" s="805" t="s">
        <v>475</v>
      </c>
      <c r="J198" s="943"/>
      <c r="K198" s="665">
        <v>0</v>
      </c>
      <c r="L198" s="260"/>
      <c r="M198" s="304"/>
      <c r="N198" s="280"/>
    </row>
    <row r="199" spans="2:14" ht="15" customHeight="1" outlineLevel="5" x14ac:dyDescent="0.2">
      <c r="B199" s="758"/>
      <c r="D199" s="259"/>
      <c r="E199" s="152"/>
      <c r="F199" s="152"/>
      <c r="G199" s="152"/>
      <c r="H199" s="152"/>
      <c r="I199" s="805" t="s">
        <v>476</v>
      </c>
      <c r="J199" s="943"/>
      <c r="K199" s="665">
        <v>0</v>
      </c>
      <c r="L199" s="260"/>
      <c r="M199" s="304"/>
      <c r="N199" s="280"/>
    </row>
    <row r="200" spans="2:14" ht="15" customHeight="1" outlineLevel="5" x14ac:dyDescent="0.2">
      <c r="B200" s="758"/>
      <c r="D200" s="259"/>
      <c r="E200" s="152"/>
      <c r="F200" s="152"/>
      <c r="G200" s="152"/>
      <c r="H200" s="152"/>
      <c r="I200" s="805" t="s">
        <v>477</v>
      </c>
      <c r="J200" s="943"/>
      <c r="K200" s="665">
        <v>0</v>
      </c>
      <c r="L200" s="260"/>
      <c r="M200" s="304"/>
      <c r="N200" s="280"/>
    </row>
    <row r="201" spans="2:14" ht="15" customHeight="1" outlineLevel="4" x14ac:dyDescent="0.2">
      <c r="B201" s="758"/>
      <c r="D201" s="259"/>
      <c r="E201" s="152"/>
      <c r="F201" s="152"/>
      <c r="G201" s="152"/>
      <c r="H201" s="941" t="s">
        <v>478</v>
      </c>
      <c r="I201" s="941"/>
      <c r="J201" s="942"/>
      <c r="K201" s="402">
        <f>SUM(K202:K206)</f>
        <v>0</v>
      </c>
      <c r="L201" s="278" t="s">
        <v>793</v>
      </c>
      <c r="M201" s="304"/>
      <c r="N201" s="280"/>
    </row>
    <row r="202" spans="2:14" ht="15" customHeight="1" outlineLevel="5" x14ac:dyDescent="0.2">
      <c r="B202" s="758"/>
      <c r="D202" s="259"/>
      <c r="E202" s="152"/>
      <c r="F202" s="152"/>
      <c r="G202" s="152"/>
      <c r="H202" s="152"/>
      <c r="I202" s="805" t="s">
        <v>479</v>
      </c>
      <c r="J202" s="943"/>
      <c r="K202" s="665">
        <v>0</v>
      </c>
      <c r="L202" s="260"/>
      <c r="M202" s="304"/>
      <c r="N202" s="280"/>
    </row>
    <row r="203" spans="2:14" ht="15" customHeight="1" outlineLevel="5" x14ac:dyDescent="0.2">
      <c r="B203" s="758"/>
      <c r="D203" s="259"/>
      <c r="E203" s="152"/>
      <c r="F203" s="152"/>
      <c r="G203" s="152"/>
      <c r="H203" s="152"/>
      <c r="I203" s="805" t="s">
        <v>480</v>
      </c>
      <c r="J203" s="943"/>
      <c r="K203" s="665">
        <v>0</v>
      </c>
      <c r="L203" s="260"/>
      <c r="M203" s="304"/>
      <c r="N203" s="280"/>
    </row>
    <row r="204" spans="2:14" ht="15" customHeight="1" outlineLevel="5" x14ac:dyDescent="0.2">
      <c r="B204" s="758"/>
      <c r="D204" s="259"/>
      <c r="E204" s="152"/>
      <c r="F204" s="152"/>
      <c r="G204" s="152"/>
      <c r="H204" s="152"/>
      <c r="I204" s="805" t="s">
        <v>481</v>
      </c>
      <c r="J204" s="943"/>
      <c r="K204" s="665">
        <v>0</v>
      </c>
      <c r="L204" s="260"/>
      <c r="M204" s="304"/>
      <c r="N204" s="280"/>
    </row>
    <row r="205" spans="2:14" ht="15" customHeight="1" outlineLevel="5" x14ac:dyDescent="0.2">
      <c r="B205" s="758"/>
      <c r="D205" s="259"/>
      <c r="E205" s="152"/>
      <c r="F205" s="152"/>
      <c r="G205" s="152"/>
      <c r="H205" s="152"/>
      <c r="I205" s="805" t="s">
        <v>482</v>
      </c>
      <c r="J205" s="943"/>
      <c r="K205" s="665">
        <v>0</v>
      </c>
      <c r="L205" s="260"/>
      <c r="M205" s="304"/>
      <c r="N205" s="280"/>
    </row>
    <row r="206" spans="2:14" ht="15" customHeight="1" outlineLevel="5" x14ac:dyDescent="0.2">
      <c r="B206" s="758"/>
      <c r="D206" s="259"/>
      <c r="E206" s="152"/>
      <c r="F206" s="152"/>
      <c r="G206" s="152"/>
      <c r="H206" s="152"/>
      <c r="I206" s="805" t="s">
        <v>483</v>
      </c>
      <c r="J206" s="943"/>
      <c r="K206" s="665">
        <v>0</v>
      </c>
      <c r="L206" s="260"/>
      <c r="M206" s="304"/>
      <c r="N206" s="280"/>
    </row>
    <row r="207" spans="2:14" ht="15" customHeight="1" outlineLevel="4" x14ac:dyDescent="0.2">
      <c r="B207" s="758"/>
      <c r="D207" s="259"/>
      <c r="E207" s="152"/>
      <c r="F207" s="152"/>
      <c r="G207" s="152"/>
      <c r="H207" s="941" t="s">
        <v>484</v>
      </c>
      <c r="I207" s="941"/>
      <c r="J207" s="942"/>
      <c r="K207" s="402">
        <f>SUM(K208:K209)</f>
        <v>0</v>
      </c>
      <c r="L207" s="278" t="s">
        <v>794</v>
      </c>
      <c r="M207" s="304"/>
      <c r="N207" s="280"/>
    </row>
    <row r="208" spans="2:14" ht="15" customHeight="1" outlineLevel="5" x14ac:dyDescent="0.2">
      <c r="B208" s="758"/>
      <c r="D208" s="259"/>
      <c r="E208" s="152"/>
      <c r="F208" s="152"/>
      <c r="G208" s="152"/>
      <c r="H208" s="152"/>
      <c r="I208" s="805" t="s">
        <v>485</v>
      </c>
      <c r="J208" s="943"/>
      <c r="K208" s="665">
        <v>0</v>
      </c>
      <c r="L208" s="260"/>
      <c r="M208" s="304"/>
      <c r="N208" s="280"/>
    </row>
    <row r="209" spans="2:14" ht="15" customHeight="1" outlineLevel="5" x14ac:dyDescent="0.2">
      <c r="B209" s="758"/>
      <c r="D209" s="259"/>
      <c r="E209" s="152"/>
      <c r="F209" s="152"/>
      <c r="G209" s="152"/>
      <c r="H209" s="152"/>
      <c r="I209" s="805" t="s">
        <v>486</v>
      </c>
      <c r="J209" s="943"/>
      <c r="K209" s="665">
        <v>0</v>
      </c>
      <c r="L209" s="260"/>
      <c r="M209" s="304"/>
      <c r="N209" s="280"/>
    </row>
    <row r="210" spans="2:14" ht="15" customHeight="1" outlineLevel="4" x14ac:dyDescent="0.2">
      <c r="B210" s="758"/>
      <c r="D210" s="259"/>
      <c r="E210" s="152"/>
      <c r="F210" s="152"/>
      <c r="G210" s="152"/>
      <c r="H210" s="941" t="s">
        <v>487</v>
      </c>
      <c r="I210" s="941"/>
      <c r="J210" s="942"/>
      <c r="K210" s="402">
        <f>SUM(K211:K212)</f>
        <v>0</v>
      </c>
      <c r="L210" s="278" t="s">
        <v>795</v>
      </c>
      <c r="M210" s="304"/>
      <c r="N210" s="280"/>
    </row>
    <row r="211" spans="2:14" ht="15" customHeight="1" outlineLevel="5" x14ac:dyDescent="0.2">
      <c r="B211" s="758"/>
      <c r="D211" s="259"/>
      <c r="E211" s="152"/>
      <c r="F211" s="152"/>
      <c r="G211" s="152"/>
      <c r="H211" s="152"/>
      <c r="I211" s="805" t="s">
        <v>488</v>
      </c>
      <c r="J211" s="943"/>
      <c r="K211" s="665">
        <v>0</v>
      </c>
      <c r="L211" s="260"/>
      <c r="M211" s="304"/>
      <c r="N211" s="280"/>
    </row>
    <row r="212" spans="2:14" ht="15" customHeight="1" outlineLevel="5" x14ac:dyDescent="0.2">
      <c r="B212" s="758"/>
      <c r="D212" s="259"/>
      <c r="E212" s="152"/>
      <c r="F212" s="152"/>
      <c r="G212" s="152"/>
      <c r="H212" s="152"/>
      <c r="I212" s="805" t="s">
        <v>489</v>
      </c>
      <c r="J212" s="943"/>
      <c r="K212" s="665">
        <v>0</v>
      </c>
      <c r="L212" s="260"/>
      <c r="M212" s="304"/>
      <c r="N212" s="280"/>
    </row>
    <row r="213" spans="2:14" ht="15" customHeight="1" outlineLevel="3" x14ac:dyDescent="0.2">
      <c r="B213" s="758"/>
      <c r="D213" s="259"/>
      <c r="E213" s="152"/>
      <c r="F213" s="152"/>
      <c r="G213" s="941" t="s">
        <v>490</v>
      </c>
      <c r="H213" s="941"/>
      <c r="I213" s="941"/>
      <c r="J213" s="942"/>
      <c r="K213" s="402">
        <f>SUM(K214:K216)</f>
        <v>0</v>
      </c>
      <c r="L213" s="278" t="s">
        <v>796</v>
      </c>
      <c r="M213" s="304"/>
      <c r="N213" s="280"/>
    </row>
    <row r="214" spans="2:14" ht="15" customHeight="1" outlineLevel="4" x14ac:dyDescent="0.2">
      <c r="B214" s="758"/>
      <c r="D214" s="259"/>
      <c r="E214" s="152"/>
      <c r="F214" s="152"/>
      <c r="G214" s="152"/>
      <c r="H214" s="805" t="s">
        <v>491</v>
      </c>
      <c r="I214" s="805"/>
      <c r="J214" s="943"/>
      <c r="K214" s="665">
        <v>0</v>
      </c>
      <c r="L214" s="260"/>
      <c r="M214" s="304"/>
      <c r="N214" s="280"/>
    </row>
    <row r="215" spans="2:14" ht="15" customHeight="1" outlineLevel="4" x14ac:dyDescent="0.2">
      <c r="B215" s="758"/>
      <c r="D215" s="259"/>
      <c r="E215" s="152"/>
      <c r="F215" s="152"/>
      <c r="G215" s="152"/>
      <c r="H215" s="805" t="s">
        <v>492</v>
      </c>
      <c r="I215" s="805"/>
      <c r="J215" s="943"/>
      <c r="K215" s="665">
        <v>0</v>
      </c>
      <c r="L215" s="260"/>
      <c r="M215" s="304"/>
      <c r="N215" s="280"/>
    </row>
    <row r="216" spans="2:14" ht="15" customHeight="1" outlineLevel="4" x14ac:dyDescent="0.2">
      <c r="B216" s="758"/>
      <c r="D216" s="259"/>
      <c r="E216" s="152"/>
      <c r="F216" s="152"/>
      <c r="G216" s="152"/>
      <c r="H216" s="805" t="s">
        <v>493</v>
      </c>
      <c r="I216" s="805"/>
      <c r="J216" s="943"/>
      <c r="K216" s="665">
        <v>0</v>
      </c>
      <c r="L216" s="260"/>
      <c r="M216" s="304"/>
      <c r="N216" s="280"/>
    </row>
    <row r="217" spans="2:14" ht="16" outlineLevel="3" x14ac:dyDescent="0.2">
      <c r="B217" s="758"/>
      <c r="D217" s="259"/>
      <c r="E217" s="152"/>
      <c r="F217" s="152"/>
      <c r="G217" s="941" t="s">
        <v>494</v>
      </c>
      <c r="H217" s="941"/>
      <c r="I217" s="941"/>
      <c r="J217" s="942"/>
      <c r="K217" s="665">
        <v>0</v>
      </c>
      <c r="L217" s="260"/>
      <c r="M217" s="304" t="s">
        <v>511</v>
      </c>
      <c r="N217" s="280"/>
    </row>
    <row r="218" spans="2:14" s="89" customFormat="1" ht="16" outlineLevel="2" x14ac:dyDescent="0.2">
      <c r="B218" s="758"/>
      <c r="D218" s="259"/>
      <c r="E218" s="152"/>
      <c r="F218" s="941" t="s">
        <v>495</v>
      </c>
      <c r="G218" s="941"/>
      <c r="H218" s="941"/>
      <c r="I218" s="941"/>
      <c r="J218" s="942"/>
      <c r="K218" s="402">
        <f>SUM(K219:K224)</f>
        <v>0</v>
      </c>
      <c r="L218" s="278" t="s">
        <v>797</v>
      </c>
      <c r="M218" s="304" t="s">
        <v>659</v>
      </c>
      <c r="N218" s="288"/>
    </row>
    <row r="219" spans="2:14" ht="15" customHeight="1" outlineLevel="3" x14ac:dyDescent="0.2">
      <c r="B219" s="758"/>
      <c r="D219" s="259"/>
      <c r="E219" s="152"/>
      <c r="F219" s="152"/>
      <c r="G219" s="805" t="s">
        <v>496</v>
      </c>
      <c r="H219" s="805"/>
      <c r="I219" s="805"/>
      <c r="J219" s="943"/>
      <c r="K219" s="665">
        <v>0</v>
      </c>
      <c r="L219" s="260"/>
      <c r="M219" s="304"/>
      <c r="N219" s="280"/>
    </row>
    <row r="220" spans="2:14" ht="15" customHeight="1" outlineLevel="3" x14ac:dyDescent="0.2">
      <c r="B220" s="758"/>
      <c r="D220" s="259"/>
      <c r="E220" s="152"/>
      <c r="F220" s="152"/>
      <c r="G220" s="805" t="s">
        <v>497</v>
      </c>
      <c r="H220" s="805"/>
      <c r="I220" s="805"/>
      <c r="J220" s="943"/>
      <c r="K220" s="665">
        <v>0</v>
      </c>
      <c r="L220" s="260"/>
      <c r="M220" s="304"/>
      <c r="N220" s="280"/>
    </row>
    <row r="221" spans="2:14" ht="15" customHeight="1" outlineLevel="3" x14ac:dyDescent="0.2">
      <c r="B221" s="758"/>
      <c r="D221" s="259"/>
      <c r="E221" s="152"/>
      <c r="F221" s="152"/>
      <c r="G221" s="805" t="s">
        <v>498</v>
      </c>
      <c r="H221" s="805"/>
      <c r="I221" s="805"/>
      <c r="J221" s="943"/>
      <c r="K221" s="665">
        <v>0</v>
      </c>
      <c r="L221" s="260"/>
      <c r="M221" s="304"/>
      <c r="N221" s="280"/>
    </row>
    <row r="222" spans="2:14" ht="15" customHeight="1" outlineLevel="3" x14ac:dyDescent="0.2">
      <c r="B222" s="758"/>
      <c r="D222" s="259"/>
      <c r="E222" s="152"/>
      <c r="F222" s="152"/>
      <c r="G222" s="805" t="s">
        <v>499</v>
      </c>
      <c r="H222" s="805"/>
      <c r="I222" s="805"/>
      <c r="J222" s="943"/>
      <c r="K222" s="665">
        <v>0</v>
      </c>
      <c r="L222" s="260"/>
      <c r="M222" s="304"/>
      <c r="N222" s="280"/>
    </row>
    <row r="223" spans="2:14" ht="15" customHeight="1" outlineLevel="3" x14ac:dyDescent="0.2">
      <c r="B223" s="758"/>
      <c r="D223" s="259"/>
      <c r="E223" s="152"/>
      <c r="F223" s="152"/>
      <c r="G223" s="805" t="s">
        <v>500</v>
      </c>
      <c r="H223" s="805"/>
      <c r="I223" s="805"/>
      <c r="J223" s="943"/>
      <c r="K223" s="665">
        <v>0</v>
      </c>
      <c r="L223" s="260"/>
      <c r="M223" s="304"/>
      <c r="N223" s="280"/>
    </row>
    <row r="224" spans="2:14" ht="15" customHeight="1" outlineLevel="3" x14ac:dyDescent="0.2">
      <c r="B224" s="758"/>
      <c r="D224" s="259"/>
      <c r="E224" s="152"/>
      <c r="F224" s="152"/>
      <c r="G224" s="805" t="s">
        <v>501</v>
      </c>
      <c r="H224" s="805"/>
      <c r="I224" s="805"/>
      <c r="J224" s="943"/>
      <c r="K224" s="665">
        <v>0</v>
      </c>
      <c r="L224" s="260"/>
      <c r="M224" s="304"/>
      <c r="N224" s="280"/>
    </row>
    <row r="225" spans="2:15" s="89" customFormat="1" ht="16" outlineLevel="1" x14ac:dyDescent="0.2">
      <c r="B225" s="758"/>
      <c r="D225" s="259"/>
      <c r="E225" s="941" t="s">
        <v>502</v>
      </c>
      <c r="F225" s="941"/>
      <c r="G225" s="941"/>
      <c r="H225" s="941"/>
      <c r="I225" s="941"/>
      <c r="J225" s="942"/>
      <c r="K225" s="402">
        <f>SUM(K226:K229)</f>
        <v>0</v>
      </c>
      <c r="L225" s="278" t="s">
        <v>798</v>
      </c>
      <c r="M225" s="304" t="s">
        <v>660</v>
      </c>
      <c r="N225" s="288"/>
    </row>
    <row r="226" spans="2:15" s="89" customFormat="1" outlineLevel="2" x14ac:dyDescent="0.2">
      <c r="B226" s="758"/>
      <c r="D226" s="259"/>
      <c r="E226" s="152"/>
      <c r="F226" s="805" t="s">
        <v>503</v>
      </c>
      <c r="G226" s="805"/>
      <c r="H226" s="805"/>
      <c r="I226" s="805"/>
      <c r="J226" s="943"/>
      <c r="K226" s="665">
        <v>0</v>
      </c>
      <c r="L226" s="260"/>
      <c r="M226" s="304"/>
      <c r="N226" s="280"/>
    </row>
    <row r="227" spans="2:15" s="89" customFormat="1" outlineLevel="2" x14ac:dyDescent="0.2">
      <c r="B227" s="758"/>
      <c r="D227" s="259"/>
      <c r="E227" s="152"/>
      <c r="F227" s="805" t="s">
        <v>504</v>
      </c>
      <c r="G227" s="805"/>
      <c r="H227" s="805"/>
      <c r="I227" s="805"/>
      <c r="J227" s="943"/>
      <c r="K227" s="665">
        <v>0</v>
      </c>
      <c r="L227" s="260"/>
      <c r="M227" s="304"/>
      <c r="N227" s="280"/>
    </row>
    <row r="228" spans="2:15" s="89" customFormat="1" outlineLevel="2" x14ac:dyDescent="0.2">
      <c r="B228" s="758"/>
      <c r="D228" s="259"/>
      <c r="E228" s="152"/>
      <c r="F228" s="805" t="s">
        <v>505</v>
      </c>
      <c r="G228" s="805"/>
      <c r="H228" s="805"/>
      <c r="I228" s="805"/>
      <c r="J228" s="943"/>
      <c r="K228" s="665">
        <v>0</v>
      </c>
      <c r="L228" s="260"/>
      <c r="M228" s="304"/>
      <c r="N228" s="280"/>
    </row>
    <row r="229" spans="2:15" s="89" customFormat="1" outlineLevel="2" x14ac:dyDescent="0.2">
      <c r="B229" s="758"/>
      <c r="D229" s="259"/>
      <c r="E229" s="152"/>
      <c r="F229" s="805" t="s">
        <v>506</v>
      </c>
      <c r="G229" s="805"/>
      <c r="H229" s="805"/>
      <c r="I229" s="805"/>
      <c r="J229" s="943"/>
      <c r="K229" s="402">
        <f>SUM(K230:K232)</f>
        <v>0</v>
      </c>
      <c r="L229" s="278" t="s">
        <v>799</v>
      </c>
      <c r="M229" s="304"/>
      <c r="N229" s="280"/>
    </row>
    <row r="230" spans="2:15" outlineLevel="3" x14ac:dyDescent="0.2">
      <c r="B230" s="758"/>
      <c r="D230" s="259"/>
      <c r="E230" s="152"/>
      <c r="F230" s="152"/>
      <c r="G230" s="805" t="s">
        <v>507</v>
      </c>
      <c r="H230" s="805"/>
      <c r="I230" s="805"/>
      <c r="J230" s="943"/>
      <c r="K230" s="665">
        <v>0</v>
      </c>
      <c r="L230" s="279"/>
      <c r="M230" s="307"/>
      <c r="N230" s="283"/>
      <c r="O230" s="110"/>
    </row>
    <row r="231" spans="2:15" outlineLevel="3" x14ac:dyDescent="0.2">
      <c r="B231" s="758"/>
      <c r="D231" s="259"/>
      <c r="E231" s="152"/>
      <c r="F231" s="152"/>
      <c r="G231" s="805" t="s">
        <v>508</v>
      </c>
      <c r="H231" s="805"/>
      <c r="I231" s="805"/>
      <c r="J231" s="943"/>
      <c r="K231" s="665">
        <v>0</v>
      </c>
      <c r="L231" s="279"/>
      <c r="M231" s="307"/>
      <c r="N231" s="283"/>
      <c r="O231" s="110"/>
    </row>
    <row r="232" spans="2:15" ht="16" outlineLevel="3" thickBot="1" x14ac:dyDescent="0.25">
      <c r="B232" s="758"/>
      <c r="D232" s="273"/>
      <c r="E232" s="274"/>
      <c r="F232" s="274"/>
      <c r="G232" s="960" t="s">
        <v>509</v>
      </c>
      <c r="H232" s="960"/>
      <c r="I232" s="960"/>
      <c r="J232" s="961"/>
      <c r="K232" s="666">
        <v>0</v>
      </c>
      <c r="L232" s="409"/>
      <c r="M232" s="412"/>
      <c r="N232" s="414"/>
      <c r="O232" s="110"/>
    </row>
    <row r="233" spans="2:15" x14ac:dyDescent="0.2">
      <c r="B233" s="758"/>
      <c r="N233" s="92"/>
      <c r="O233" s="110"/>
    </row>
    <row r="234" spans="2:15" ht="16" thickBot="1" x14ac:dyDescent="0.25">
      <c r="B234" s="758"/>
      <c r="N234" s="92"/>
      <c r="O234" s="110"/>
    </row>
    <row r="235" spans="2:15" ht="19" x14ac:dyDescent="0.2">
      <c r="B235" s="758"/>
      <c r="J235" s="760" t="s">
        <v>208</v>
      </c>
      <c r="K235" s="761"/>
      <c r="L235" s="762"/>
      <c r="N235" s="92"/>
      <c r="O235" s="110"/>
    </row>
    <row r="236" spans="2:15" ht="16" x14ac:dyDescent="0.2">
      <c r="B236" s="758"/>
      <c r="J236" s="299" t="s">
        <v>896</v>
      </c>
      <c r="K236" s="300" t="s">
        <v>897</v>
      </c>
      <c r="L236" s="301" t="s">
        <v>898</v>
      </c>
      <c r="N236" s="92"/>
      <c r="O236" s="110"/>
    </row>
    <row r="237" spans="2:15" x14ac:dyDescent="0.2">
      <c r="B237" s="758"/>
      <c r="J237" s="302" t="s">
        <v>578</v>
      </c>
      <c r="K237" s="575">
        <v>1038225</v>
      </c>
      <c r="L237" s="570">
        <v>1</v>
      </c>
      <c r="N237" s="92"/>
      <c r="O237" s="110"/>
    </row>
    <row r="238" spans="2:15" x14ac:dyDescent="0.2">
      <c r="B238" s="758"/>
      <c r="J238" s="302" t="s">
        <v>579</v>
      </c>
      <c r="K238" s="575">
        <v>129402</v>
      </c>
      <c r="L238" s="570">
        <v>1</v>
      </c>
      <c r="N238" s="92"/>
      <c r="O238" s="110"/>
    </row>
    <row r="239" spans="2:15" x14ac:dyDescent="0.2">
      <c r="B239" s="758"/>
      <c r="J239" s="302" t="s">
        <v>580</v>
      </c>
      <c r="K239" s="575">
        <v>36000</v>
      </c>
      <c r="L239" s="570">
        <v>1</v>
      </c>
      <c r="N239" s="92"/>
      <c r="O239" s="110"/>
    </row>
    <row r="240" spans="2:15" ht="16" thickBot="1" x14ac:dyDescent="0.25">
      <c r="B240" s="758"/>
      <c r="J240" s="303" t="s">
        <v>581</v>
      </c>
      <c r="K240" s="576">
        <v>64332</v>
      </c>
      <c r="L240" s="571">
        <v>1</v>
      </c>
      <c r="N240" s="92"/>
      <c r="O240" s="110"/>
    </row>
    <row r="241" spans="2:15" x14ac:dyDescent="0.2">
      <c r="B241" s="758"/>
      <c r="J241" s="92"/>
      <c r="K241" s="91"/>
      <c r="L241" s="91"/>
      <c r="N241" s="92"/>
      <c r="O241" s="110"/>
    </row>
    <row r="242" spans="2:15" ht="16" thickBot="1" x14ac:dyDescent="0.25">
      <c r="B242" s="758"/>
      <c r="J242" s="92"/>
      <c r="K242" s="91"/>
      <c r="L242" s="91"/>
      <c r="N242" s="92"/>
      <c r="O242" s="110"/>
    </row>
    <row r="243" spans="2:15" ht="19" x14ac:dyDescent="0.2">
      <c r="B243" s="758"/>
      <c r="J243" s="760" t="s">
        <v>662</v>
      </c>
      <c r="K243" s="761"/>
      <c r="L243" s="762"/>
      <c r="N243" s="92"/>
      <c r="O243" s="110"/>
    </row>
    <row r="244" spans="2:15" ht="16" x14ac:dyDescent="0.2">
      <c r="B244" s="758"/>
      <c r="J244" s="311" t="s">
        <v>189</v>
      </c>
      <c r="K244" s="312" t="s">
        <v>186</v>
      </c>
      <c r="L244" s="313" t="s">
        <v>187</v>
      </c>
      <c r="N244" s="92"/>
      <c r="O244" s="110"/>
    </row>
    <row r="245" spans="2:15" x14ac:dyDescent="0.2">
      <c r="B245" s="758"/>
      <c r="J245" s="302" t="s">
        <v>190</v>
      </c>
      <c r="K245" s="575">
        <v>35349</v>
      </c>
      <c r="L245" s="570">
        <v>3</v>
      </c>
      <c r="N245" s="92"/>
      <c r="O245" s="110"/>
    </row>
    <row r="246" spans="2:15" x14ac:dyDescent="0.2">
      <c r="B246" s="758"/>
      <c r="J246" s="302" t="s">
        <v>191</v>
      </c>
      <c r="K246" s="575">
        <v>12985</v>
      </c>
      <c r="L246" s="570">
        <v>1</v>
      </c>
      <c r="N246" s="92"/>
      <c r="O246" s="110"/>
    </row>
    <row r="247" spans="2:15" x14ac:dyDescent="0.2">
      <c r="B247" s="758"/>
      <c r="J247" s="302" t="s">
        <v>192</v>
      </c>
      <c r="K247" s="575">
        <v>43415</v>
      </c>
      <c r="L247" s="570">
        <v>1</v>
      </c>
      <c r="N247" s="92"/>
      <c r="O247" s="110"/>
    </row>
    <row r="248" spans="2:15" x14ac:dyDescent="0.2">
      <c r="B248" s="758"/>
      <c r="J248" s="302" t="s">
        <v>195</v>
      </c>
      <c r="K248" s="575">
        <v>1050</v>
      </c>
      <c r="L248" s="570">
        <v>2</v>
      </c>
      <c r="N248" s="92"/>
      <c r="O248" s="110"/>
    </row>
    <row r="249" spans="2:15" x14ac:dyDescent="0.2">
      <c r="B249" s="758"/>
      <c r="J249" s="302" t="s">
        <v>193</v>
      </c>
      <c r="K249" s="575">
        <v>13766</v>
      </c>
      <c r="L249" s="570">
        <v>3</v>
      </c>
      <c r="N249" s="92"/>
      <c r="O249" s="110"/>
    </row>
    <row r="250" spans="2:15" x14ac:dyDescent="0.2">
      <c r="B250" s="758"/>
      <c r="J250" s="302" t="s">
        <v>194</v>
      </c>
      <c r="K250" s="575">
        <v>3495</v>
      </c>
      <c r="L250" s="570">
        <v>6</v>
      </c>
      <c r="N250" s="92"/>
      <c r="O250" s="110"/>
    </row>
    <row r="251" spans="2:15" x14ac:dyDescent="0.2">
      <c r="B251" s="758"/>
      <c r="J251" s="302" t="s">
        <v>196</v>
      </c>
      <c r="K251" s="575">
        <v>14429</v>
      </c>
      <c r="L251" s="570">
        <v>1</v>
      </c>
      <c r="N251" s="92"/>
      <c r="O251" s="110"/>
    </row>
    <row r="252" spans="2:15" x14ac:dyDescent="0.2">
      <c r="B252" s="758"/>
      <c r="J252" s="302" t="s">
        <v>201</v>
      </c>
      <c r="K252" s="575">
        <v>1190</v>
      </c>
      <c r="L252" s="570">
        <v>2</v>
      </c>
      <c r="N252" s="92"/>
      <c r="O252" s="110"/>
    </row>
    <row r="253" spans="2:15" x14ac:dyDescent="0.2">
      <c r="B253" s="758"/>
      <c r="J253" s="302" t="s">
        <v>202</v>
      </c>
      <c r="K253" s="575">
        <v>1860</v>
      </c>
      <c r="L253" s="570">
        <v>1</v>
      </c>
      <c r="N253" s="92"/>
      <c r="O253" s="110"/>
    </row>
    <row r="254" spans="2:15" x14ac:dyDescent="0.2">
      <c r="B254" s="758"/>
      <c r="J254" s="302" t="s">
        <v>197</v>
      </c>
      <c r="K254" s="575">
        <v>33435</v>
      </c>
      <c r="L254" s="570">
        <v>3</v>
      </c>
      <c r="N254" s="92"/>
      <c r="O254" s="110"/>
    </row>
    <row r="255" spans="2:15" x14ac:dyDescent="0.2">
      <c r="B255" s="758"/>
      <c r="J255" s="302" t="s">
        <v>198</v>
      </c>
      <c r="K255" s="575">
        <v>6536</v>
      </c>
      <c r="L255" s="570">
        <v>2</v>
      </c>
      <c r="N255" s="92"/>
      <c r="O255" s="110"/>
    </row>
    <row r="256" spans="2:15" x14ac:dyDescent="0.2">
      <c r="B256" s="758"/>
      <c r="J256" s="302" t="s">
        <v>199</v>
      </c>
      <c r="K256" s="575">
        <v>31029</v>
      </c>
      <c r="L256" s="570">
        <v>2</v>
      </c>
      <c r="N256" s="92"/>
      <c r="O256" s="110"/>
    </row>
    <row r="257" spans="2:15" ht="16" thickBot="1" x14ac:dyDescent="0.25">
      <c r="B257" s="759"/>
      <c r="J257" s="314" t="s">
        <v>200</v>
      </c>
      <c r="K257" s="577">
        <v>22098</v>
      </c>
      <c r="L257" s="578">
        <v>2</v>
      </c>
      <c r="N257" s="92"/>
      <c r="O257" s="110"/>
    </row>
    <row r="258" spans="2:15" x14ac:dyDescent="0.2">
      <c r="N258" s="92"/>
      <c r="O258" s="110"/>
    </row>
    <row r="259" spans="2:15" x14ac:dyDescent="0.2">
      <c r="B259" s="12"/>
      <c r="N259" s="92"/>
      <c r="O259" s="110"/>
    </row>
    <row r="260" spans="2:15" ht="16" thickBot="1" x14ac:dyDescent="0.25">
      <c r="B260" s="12"/>
      <c r="N260" s="92"/>
      <c r="O260" s="110"/>
    </row>
    <row r="261" spans="2:15" ht="20" customHeight="1" thickBot="1" x14ac:dyDescent="0.25">
      <c r="B261" s="757" t="s">
        <v>51</v>
      </c>
      <c r="D261" s="779" t="s">
        <v>903</v>
      </c>
      <c r="E261" s="780"/>
      <c r="F261" s="780"/>
      <c r="G261" s="780"/>
      <c r="H261" s="780"/>
      <c r="I261" s="780"/>
      <c r="J261" s="780"/>
      <c r="K261" s="780"/>
      <c r="L261" s="780"/>
      <c r="M261" s="780"/>
      <c r="N261" s="781"/>
    </row>
    <row r="262" spans="2:15" x14ac:dyDescent="0.2">
      <c r="B262" s="758"/>
      <c r="D262" s="822" t="s">
        <v>207</v>
      </c>
      <c r="E262" s="823"/>
      <c r="F262" s="823"/>
      <c r="G262" s="823"/>
      <c r="H262" s="824"/>
      <c r="I262" s="75" t="s">
        <v>213</v>
      </c>
      <c r="J262" s="75" t="s">
        <v>899</v>
      </c>
      <c r="K262" s="75" t="s">
        <v>62</v>
      </c>
      <c r="L262" s="75" t="s">
        <v>953</v>
      </c>
      <c r="M262" s="75" t="s">
        <v>900</v>
      </c>
      <c r="N262" s="73" t="s">
        <v>902</v>
      </c>
    </row>
    <row r="263" spans="2:15" ht="18" customHeight="1" x14ac:dyDescent="0.2">
      <c r="B263" s="758"/>
      <c r="D263" s="825"/>
      <c r="E263" s="826"/>
      <c r="F263" s="826"/>
      <c r="G263" s="826"/>
      <c r="H263" s="827"/>
      <c r="I263" s="528" t="s">
        <v>168</v>
      </c>
      <c r="J263" s="31">
        <f>L263</f>
        <v>120621</v>
      </c>
      <c r="K263" s="84" t="str">
        <f t="shared" ref="K263:K269" si="0">D4</f>
        <v>Single Device</v>
      </c>
      <c r="L263" s="315">
        <f>H4+K24+K25</f>
        <v>120621</v>
      </c>
      <c r="M263" s="9">
        <f t="shared" ref="M263:M269" si="1">F4</f>
        <v>1</v>
      </c>
      <c r="N263" s="108">
        <f>L263*M263</f>
        <v>120621</v>
      </c>
    </row>
    <row r="264" spans="2:15" ht="16" customHeight="1" x14ac:dyDescent="0.2">
      <c r="B264" s="758"/>
      <c r="D264" s="825"/>
      <c r="E264" s="826"/>
      <c r="F264" s="826"/>
      <c r="G264" s="826"/>
      <c r="H264" s="827"/>
      <c r="I264" s="84"/>
      <c r="J264" s="9"/>
      <c r="K264" s="84" t="str">
        <f t="shared" si="0"/>
        <v>Remote Monitoring, Nearshore</v>
      </c>
      <c r="L264" s="31">
        <f>H5+K24+K25</f>
        <v>120621</v>
      </c>
      <c r="M264" s="6">
        <f t="shared" si="1"/>
        <v>1</v>
      </c>
      <c r="N264" s="108">
        <f>L264*M264</f>
        <v>120621</v>
      </c>
    </row>
    <row r="265" spans="2:15" ht="16" customHeight="1" x14ac:dyDescent="0.2">
      <c r="B265" s="758"/>
      <c r="D265" s="825"/>
      <c r="E265" s="826"/>
      <c r="F265" s="826"/>
      <c r="G265" s="826"/>
      <c r="H265" s="827"/>
      <c r="I265" s="84"/>
      <c r="J265" s="9"/>
      <c r="K265" s="84" t="str">
        <f t="shared" si="0"/>
        <v>Remote Monitoring, Far Offshore</v>
      </c>
      <c r="L265" s="31">
        <f>H6+K24+K25</f>
        <v>120621</v>
      </c>
      <c r="M265" s="9">
        <f t="shared" si="1"/>
        <v>1</v>
      </c>
      <c r="N265" s="108">
        <f t="shared" ref="N265:N268" si="2">L265*M265</f>
        <v>120621</v>
      </c>
    </row>
    <row r="266" spans="2:15" ht="16" customHeight="1" x14ac:dyDescent="0.2">
      <c r="B266" s="758"/>
      <c r="D266" s="825"/>
      <c r="E266" s="826"/>
      <c r="F266" s="826"/>
      <c r="G266" s="826"/>
      <c r="H266" s="827"/>
      <c r="I266" s="84"/>
      <c r="J266" s="9"/>
      <c r="K266" s="84" t="str">
        <f t="shared" si="0"/>
        <v>Remote Monitoring, High Latitude</v>
      </c>
      <c r="L266" s="31">
        <f>H7+K24+K25</f>
        <v>122481</v>
      </c>
      <c r="M266" s="9">
        <f t="shared" si="1"/>
        <v>1</v>
      </c>
      <c r="N266" s="108">
        <f t="shared" si="2"/>
        <v>122481</v>
      </c>
    </row>
    <row r="267" spans="2:15" ht="16" customHeight="1" x14ac:dyDescent="0.2">
      <c r="B267" s="758"/>
      <c r="D267" s="825"/>
      <c r="E267" s="826"/>
      <c r="F267" s="826"/>
      <c r="G267" s="826"/>
      <c r="H267" s="827"/>
      <c r="I267" s="84"/>
      <c r="J267" s="9"/>
      <c r="K267" s="84" t="str">
        <f t="shared" si="0"/>
        <v>AUV, Nearshore</v>
      </c>
      <c r="L267" s="31">
        <f>H8+K24+K25</f>
        <v>120621</v>
      </c>
      <c r="M267" s="9">
        <f t="shared" si="1"/>
        <v>2</v>
      </c>
      <c r="N267" s="108">
        <f t="shared" si="2"/>
        <v>241242</v>
      </c>
    </row>
    <row r="268" spans="2:15" ht="16" customHeight="1" x14ac:dyDescent="0.2">
      <c r="B268" s="758"/>
      <c r="D268" s="825"/>
      <c r="E268" s="826"/>
      <c r="F268" s="826"/>
      <c r="G268" s="826"/>
      <c r="H268" s="827"/>
      <c r="I268" s="84"/>
      <c r="J268" s="9"/>
      <c r="K268" s="84" t="str">
        <f t="shared" si="0"/>
        <v>AUV, Far Offshore</v>
      </c>
      <c r="L268" s="31">
        <f>H9+K24+K25</f>
        <v>120621</v>
      </c>
      <c r="M268" s="529">
        <f t="shared" si="1"/>
        <v>2</v>
      </c>
      <c r="N268" s="108">
        <f t="shared" si="2"/>
        <v>241242</v>
      </c>
    </row>
    <row r="269" spans="2:15" ht="16" customHeight="1" x14ac:dyDescent="0.2">
      <c r="B269" s="758"/>
      <c r="D269" s="825"/>
      <c r="E269" s="826"/>
      <c r="F269" s="826"/>
      <c r="G269" s="826"/>
      <c r="H269" s="827"/>
      <c r="I269" s="84"/>
      <c r="J269" s="9"/>
      <c r="K269" s="84" t="str">
        <f t="shared" si="0"/>
        <v>AUV, High Latitude</v>
      </c>
      <c r="L269" s="31">
        <f>H10+K24+K25</f>
        <v>120621</v>
      </c>
      <c r="M269" s="529">
        <f t="shared" si="1"/>
        <v>3</v>
      </c>
      <c r="N269" s="108">
        <f>L269*M269</f>
        <v>361863</v>
      </c>
    </row>
    <row r="270" spans="2:15" ht="16" customHeight="1" x14ac:dyDescent="0.2">
      <c r="B270" s="758"/>
      <c r="D270" s="825"/>
      <c r="E270" s="826"/>
      <c r="F270" s="826"/>
      <c r="G270" s="826"/>
      <c r="H270" s="827"/>
      <c r="I270" s="316" t="s">
        <v>527</v>
      </c>
      <c r="J270" s="315">
        <f>K28</f>
        <v>2882108</v>
      </c>
      <c r="K270" s="143"/>
      <c r="L270" s="143"/>
      <c r="M270" s="143"/>
      <c r="N270" s="530"/>
    </row>
    <row r="271" spans="2:15" x14ac:dyDescent="0.2">
      <c r="B271" s="758"/>
      <c r="D271" s="825"/>
      <c r="E271" s="826"/>
      <c r="F271" s="826"/>
      <c r="G271" s="826"/>
      <c r="H271" s="827"/>
      <c r="I271" s="316" t="s">
        <v>530</v>
      </c>
      <c r="J271" s="315">
        <f>K225</f>
        <v>0</v>
      </c>
      <c r="K271" s="143"/>
      <c r="L271" s="143"/>
      <c r="M271" s="143"/>
      <c r="N271" s="530"/>
    </row>
    <row r="272" spans="2:15" ht="16" thickBot="1" x14ac:dyDescent="0.25">
      <c r="B272" s="758"/>
      <c r="D272" s="828"/>
      <c r="E272" s="829"/>
      <c r="F272" s="829"/>
      <c r="G272" s="829"/>
      <c r="H272" s="830"/>
      <c r="I272" s="43" t="s">
        <v>554</v>
      </c>
      <c r="J272" s="100">
        <f>SUM(J263:J271)</f>
        <v>3002729</v>
      </c>
      <c r="K272" s="85"/>
      <c r="L272" s="85"/>
      <c r="M272" s="85"/>
      <c r="N272" s="531"/>
    </row>
    <row r="273" spans="2:15" ht="16" thickBot="1" x14ac:dyDescent="0.25">
      <c r="B273" s="758"/>
      <c r="D273" s="5"/>
      <c r="E273" s="5"/>
      <c r="F273" s="5"/>
      <c r="G273" s="5"/>
      <c r="H273" s="5"/>
      <c r="I273" s="5"/>
      <c r="J273" s="129"/>
      <c r="K273" s="125"/>
      <c r="L273" s="129"/>
      <c r="M273" s="125"/>
      <c r="N273" s="92"/>
      <c r="O273" s="110"/>
    </row>
    <row r="274" spans="2:15" ht="15" customHeight="1" x14ac:dyDescent="0.2">
      <c r="B274" s="758"/>
      <c r="D274" s="963" t="s">
        <v>208</v>
      </c>
      <c r="E274" s="964"/>
      <c r="F274" s="964"/>
      <c r="G274" s="964"/>
      <c r="H274" s="964"/>
      <c r="I274" s="965"/>
      <c r="J274" s="127" t="s">
        <v>185</v>
      </c>
      <c r="K274" s="127" t="s">
        <v>203</v>
      </c>
      <c r="L274" s="127" t="s">
        <v>204</v>
      </c>
      <c r="M274" s="128" t="s">
        <v>188</v>
      </c>
      <c r="N274" s="92"/>
      <c r="O274" s="110"/>
    </row>
    <row r="275" spans="2:15" ht="15" customHeight="1" x14ac:dyDescent="0.2">
      <c r="B275" s="758"/>
      <c r="D275" s="966"/>
      <c r="E275" s="774"/>
      <c r="F275" s="774"/>
      <c r="G275" s="774"/>
      <c r="H275" s="774"/>
      <c r="I275" s="775"/>
      <c r="J275" s="84" t="s">
        <v>578</v>
      </c>
      <c r="K275" s="54">
        <f t="shared" ref="K275:L278" si="3">K237</f>
        <v>1038225</v>
      </c>
      <c r="L275" s="308">
        <f t="shared" si="3"/>
        <v>1</v>
      </c>
      <c r="M275" s="158">
        <f>K275*L275</f>
        <v>1038225</v>
      </c>
      <c r="N275" s="92"/>
      <c r="O275" s="110"/>
    </row>
    <row r="276" spans="2:15" ht="15" customHeight="1" x14ac:dyDescent="0.2">
      <c r="B276" s="758"/>
      <c r="D276" s="966"/>
      <c r="E276" s="774"/>
      <c r="F276" s="774"/>
      <c r="G276" s="774"/>
      <c r="H276" s="774"/>
      <c r="I276" s="775"/>
      <c r="J276" s="84" t="s">
        <v>579</v>
      </c>
      <c r="K276" s="54">
        <f t="shared" si="3"/>
        <v>129402</v>
      </c>
      <c r="L276" s="308">
        <f t="shared" si="3"/>
        <v>1</v>
      </c>
      <c r="M276" s="158">
        <f>K276*L276</f>
        <v>129402</v>
      </c>
      <c r="N276" s="92"/>
      <c r="O276" s="110"/>
    </row>
    <row r="277" spans="2:15" ht="15" customHeight="1" x14ac:dyDescent="0.2">
      <c r="B277" s="758"/>
      <c r="D277" s="966"/>
      <c r="E277" s="774"/>
      <c r="F277" s="774"/>
      <c r="G277" s="774"/>
      <c r="H277" s="774"/>
      <c r="I277" s="775"/>
      <c r="J277" s="84" t="s">
        <v>580</v>
      </c>
      <c r="K277" s="54">
        <f t="shared" si="3"/>
        <v>36000</v>
      </c>
      <c r="L277" s="308">
        <f t="shared" si="3"/>
        <v>1</v>
      </c>
      <c r="M277" s="158">
        <f>K277*L277</f>
        <v>36000</v>
      </c>
      <c r="N277" s="92"/>
      <c r="O277" s="110"/>
    </row>
    <row r="278" spans="2:15" x14ac:dyDescent="0.2">
      <c r="B278" s="758"/>
      <c r="D278" s="966"/>
      <c r="E278" s="774"/>
      <c r="F278" s="774"/>
      <c r="G278" s="774"/>
      <c r="H278" s="774"/>
      <c r="I278" s="775"/>
      <c r="J278" s="84" t="s">
        <v>581</v>
      </c>
      <c r="K278" s="54">
        <f t="shared" si="3"/>
        <v>64332</v>
      </c>
      <c r="L278" s="308">
        <f t="shared" si="3"/>
        <v>1</v>
      </c>
      <c r="M278" s="158">
        <f>K278*L278</f>
        <v>64332</v>
      </c>
      <c r="N278" s="92"/>
      <c r="O278" s="110"/>
    </row>
    <row r="279" spans="2:15" ht="17" thickBot="1" x14ac:dyDescent="0.25">
      <c r="B279" s="758"/>
      <c r="D279" s="967"/>
      <c r="E279" s="968"/>
      <c r="F279" s="968"/>
      <c r="G279" s="968"/>
      <c r="H279" s="968"/>
      <c r="I279" s="969"/>
      <c r="J279" s="144"/>
      <c r="K279" s="159"/>
      <c r="L279" s="160" t="s">
        <v>205</v>
      </c>
      <c r="M279" s="161">
        <f>SUM(M275:M278)</f>
        <v>1267959</v>
      </c>
      <c r="N279" s="92"/>
      <c r="O279" s="110"/>
    </row>
    <row r="280" spans="2:15" ht="16" thickBot="1" x14ac:dyDescent="0.25">
      <c r="B280" s="758"/>
      <c r="N280" s="92"/>
      <c r="O280" s="110"/>
    </row>
    <row r="281" spans="2:15" ht="15" customHeight="1" x14ac:dyDescent="0.2">
      <c r="B281" s="758"/>
      <c r="D281" s="770" t="s">
        <v>211</v>
      </c>
      <c r="E281" s="771"/>
      <c r="F281" s="771"/>
      <c r="G281" s="771"/>
      <c r="H281" s="771"/>
      <c r="I281" s="771"/>
      <c r="J281" s="75" t="s">
        <v>189</v>
      </c>
      <c r="K281" s="75" t="s">
        <v>186</v>
      </c>
      <c r="L281" s="75" t="s">
        <v>187</v>
      </c>
      <c r="M281" s="73" t="s">
        <v>188</v>
      </c>
      <c r="N281" s="92"/>
      <c r="O281" s="110"/>
    </row>
    <row r="282" spans="2:15" x14ac:dyDescent="0.2">
      <c r="B282" s="758"/>
      <c r="D282" s="773"/>
      <c r="E282" s="774"/>
      <c r="F282" s="774"/>
      <c r="G282" s="774"/>
      <c r="H282" s="774"/>
      <c r="I282" s="774"/>
      <c r="J282" s="84" t="s">
        <v>190</v>
      </c>
      <c r="K282" s="54">
        <f t="shared" ref="K282:L294" si="4">K245</f>
        <v>35349</v>
      </c>
      <c r="L282" s="9">
        <f t="shared" si="4"/>
        <v>3</v>
      </c>
      <c r="M282" s="36">
        <f>K282*L282</f>
        <v>106047</v>
      </c>
      <c r="N282" s="92"/>
      <c r="O282" s="110"/>
    </row>
    <row r="283" spans="2:15" x14ac:dyDescent="0.2">
      <c r="B283" s="758"/>
      <c r="D283" s="773"/>
      <c r="E283" s="774"/>
      <c r="F283" s="774"/>
      <c r="G283" s="774"/>
      <c r="H283" s="774"/>
      <c r="I283" s="774"/>
      <c r="J283" s="84" t="s">
        <v>191</v>
      </c>
      <c r="K283" s="54">
        <f t="shared" si="4"/>
        <v>12985</v>
      </c>
      <c r="L283" s="9">
        <f t="shared" si="4"/>
        <v>1</v>
      </c>
      <c r="M283" s="36">
        <f>K283*L283</f>
        <v>12985</v>
      </c>
      <c r="N283" s="92"/>
      <c r="O283" s="110"/>
    </row>
    <row r="284" spans="2:15" x14ac:dyDescent="0.2">
      <c r="B284" s="758"/>
      <c r="D284" s="773"/>
      <c r="E284" s="774"/>
      <c r="F284" s="774"/>
      <c r="G284" s="774"/>
      <c r="H284" s="774"/>
      <c r="I284" s="774"/>
      <c r="J284" s="84" t="s">
        <v>192</v>
      </c>
      <c r="K284" s="54">
        <f t="shared" si="4"/>
        <v>43415</v>
      </c>
      <c r="L284" s="9">
        <f t="shared" si="4"/>
        <v>1</v>
      </c>
      <c r="M284" s="36">
        <f t="shared" ref="M284:M294" si="5">K284*L284</f>
        <v>43415</v>
      </c>
      <c r="N284" s="92"/>
      <c r="O284" s="110"/>
    </row>
    <row r="285" spans="2:15" x14ac:dyDescent="0.2">
      <c r="B285" s="758"/>
      <c r="D285" s="773"/>
      <c r="E285" s="774"/>
      <c r="F285" s="774"/>
      <c r="G285" s="774"/>
      <c r="H285" s="774"/>
      <c r="I285" s="774"/>
      <c r="J285" s="84" t="s">
        <v>195</v>
      </c>
      <c r="K285" s="54">
        <f t="shared" si="4"/>
        <v>1050</v>
      </c>
      <c r="L285" s="9">
        <f t="shared" si="4"/>
        <v>2</v>
      </c>
      <c r="M285" s="36">
        <f t="shared" si="5"/>
        <v>2100</v>
      </c>
      <c r="N285" s="92"/>
      <c r="O285" s="110"/>
    </row>
    <row r="286" spans="2:15" x14ac:dyDescent="0.2">
      <c r="B286" s="758"/>
      <c r="D286" s="773"/>
      <c r="E286" s="774"/>
      <c r="F286" s="774"/>
      <c r="G286" s="774"/>
      <c r="H286" s="774"/>
      <c r="I286" s="774"/>
      <c r="J286" s="84" t="s">
        <v>193</v>
      </c>
      <c r="K286" s="54">
        <f t="shared" si="4"/>
        <v>13766</v>
      </c>
      <c r="L286" s="9">
        <f t="shared" si="4"/>
        <v>3</v>
      </c>
      <c r="M286" s="36">
        <f t="shared" si="5"/>
        <v>41298</v>
      </c>
      <c r="N286" s="92"/>
      <c r="O286" s="110"/>
    </row>
    <row r="287" spans="2:15" x14ac:dyDescent="0.2">
      <c r="B287" s="758"/>
      <c r="D287" s="773"/>
      <c r="E287" s="774"/>
      <c r="F287" s="774"/>
      <c r="G287" s="774"/>
      <c r="H287" s="774"/>
      <c r="I287" s="774"/>
      <c r="J287" s="84" t="s">
        <v>194</v>
      </c>
      <c r="K287" s="54">
        <f t="shared" si="4"/>
        <v>3495</v>
      </c>
      <c r="L287" s="9">
        <f t="shared" si="4"/>
        <v>6</v>
      </c>
      <c r="M287" s="36">
        <f t="shared" si="5"/>
        <v>20970</v>
      </c>
      <c r="N287" s="92"/>
      <c r="O287" s="110"/>
    </row>
    <row r="288" spans="2:15" x14ac:dyDescent="0.2">
      <c r="B288" s="758"/>
      <c r="D288" s="773"/>
      <c r="E288" s="774"/>
      <c r="F288" s="774"/>
      <c r="G288" s="774"/>
      <c r="H288" s="774"/>
      <c r="I288" s="774"/>
      <c r="J288" s="84" t="s">
        <v>196</v>
      </c>
      <c r="K288" s="54">
        <f t="shared" si="4"/>
        <v>14429</v>
      </c>
      <c r="L288" s="9">
        <f t="shared" si="4"/>
        <v>1</v>
      </c>
      <c r="M288" s="36">
        <f t="shared" si="5"/>
        <v>14429</v>
      </c>
      <c r="N288" s="92"/>
      <c r="O288" s="110"/>
    </row>
    <row r="289" spans="2:22" x14ac:dyDescent="0.2">
      <c r="B289" s="758"/>
      <c r="D289" s="773"/>
      <c r="E289" s="774"/>
      <c r="F289" s="774"/>
      <c r="G289" s="774"/>
      <c r="H289" s="774"/>
      <c r="I289" s="774"/>
      <c r="J289" s="84" t="s">
        <v>201</v>
      </c>
      <c r="K289" s="54">
        <f t="shared" si="4"/>
        <v>1190</v>
      </c>
      <c r="L289" s="9">
        <f t="shared" si="4"/>
        <v>2</v>
      </c>
      <c r="M289" s="36">
        <f t="shared" si="5"/>
        <v>2380</v>
      </c>
      <c r="N289" s="92"/>
      <c r="O289" s="110"/>
    </row>
    <row r="290" spans="2:22" x14ac:dyDescent="0.2">
      <c r="B290" s="758"/>
      <c r="D290" s="773"/>
      <c r="E290" s="774"/>
      <c r="F290" s="774"/>
      <c r="G290" s="774"/>
      <c r="H290" s="774"/>
      <c r="I290" s="774"/>
      <c r="J290" s="84" t="s">
        <v>202</v>
      </c>
      <c r="K290" s="54">
        <f t="shared" si="4"/>
        <v>1860</v>
      </c>
      <c r="L290" s="9">
        <f t="shared" si="4"/>
        <v>1</v>
      </c>
      <c r="M290" s="36">
        <f t="shared" si="5"/>
        <v>1860</v>
      </c>
      <c r="N290" s="92"/>
      <c r="O290" s="110"/>
    </row>
    <row r="291" spans="2:22" x14ac:dyDescent="0.2">
      <c r="B291" s="758"/>
      <c r="D291" s="773"/>
      <c r="E291" s="774"/>
      <c r="F291" s="774"/>
      <c r="G291" s="774"/>
      <c r="H291" s="774"/>
      <c r="I291" s="774"/>
      <c r="J291" s="84" t="s">
        <v>197</v>
      </c>
      <c r="K291" s="54">
        <f t="shared" si="4"/>
        <v>33435</v>
      </c>
      <c r="L291" s="9">
        <f t="shared" si="4"/>
        <v>3</v>
      </c>
      <c r="M291" s="36">
        <f t="shared" si="5"/>
        <v>100305</v>
      </c>
      <c r="N291" s="92"/>
      <c r="O291" s="110"/>
    </row>
    <row r="292" spans="2:22" x14ac:dyDescent="0.2">
      <c r="B292" s="758"/>
      <c r="D292" s="773"/>
      <c r="E292" s="774"/>
      <c r="F292" s="774"/>
      <c r="G292" s="774"/>
      <c r="H292" s="774"/>
      <c r="I292" s="774"/>
      <c r="J292" s="84" t="s">
        <v>198</v>
      </c>
      <c r="K292" s="54">
        <f t="shared" si="4"/>
        <v>6536</v>
      </c>
      <c r="L292" s="9">
        <f t="shared" si="4"/>
        <v>2</v>
      </c>
      <c r="M292" s="36">
        <f t="shared" si="5"/>
        <v>13072</v>
      </c>
      <c r="N292" s="92"/>
      <c r="O292" s="110"/>
    </row>
    <row r="293" spans="2:22" x14ac:dyDescent="0.2">
      <c r="B293" s="758"/>
      <c r="D293" s="773"/>
      <c r="E293" s="774"/>
      <c r="F293" s="774"/>
      <c r="G293" s="774"/>
      <c r="H293" s="774"/>
      <c r="I293" s="774"/>
      <c r="J293" s="84" t="s">
        <v>199</v>
      </c>
      <c r="K293" s="54">
        <f t="shared" si="4"/>
        <v>31029</v>
      </c>
      <c r="L293" s="9">
        <f t="shared" si="4"/>
        <v>2</v>
      </c>
      <c r="M293" s="36">
        <f t="shared" si="5"/>
        <v>62058</v>
      </c>
      <c r="N293" s="92"/>
      <c r="O293" s="110"/>
    </row>
    <row r="294" spans="2:22" x14ac:dyDescent="0.2">
      <c r="B294" s="758"/>
      <c r="D294" s="773"/>
      <c r="E294" s="774"/>
      <c r="F294" s="774"/>
      <c r="G294" s="774"/>
      <c r="H294" s="774"/>
      <c r="I294" s="774"/>
      <c r="J294" s="84" t="s">
        <v>200</v>
      </c>
      <c r="K294" s="54">
        <f t="shared" si="4"/>
        <v>22098</v>
      </c>
      <c r="L294" s="9">
        <f t="shared" si="4"/>
        <v>2</v>
      </c>
      <c r="M294" s="36">
        <f t="shared" si="5"/>
        <v>44196</v>
      </c>
      <c r="N294" s="92"/>
      <c r="O294" s="110"/>
    </row>
    <row r="295" spans="2:22" ht="16" thickBot="1" x14ac:dyDescent="0.25">
      <c r="B295" s="759"/>
      <c r="D295" s="776"/>
      <c r="E295" s="777"/>
      <c r="F295" s="777"/>
      <c r="G295" s="777"/>
      <c r="H295" s="777"/>
      <c r="I295" s="777"/>
      <c r="J295" s="83"/>
      <c r="K295" s="962" t="s">
        <v>206</v>
      </c>
      <c r="L295" s="962"/>
      <c r="M295" s="86">
        <f>SUM(M282:M294)</f>
        <v>465115</v>
      </c>
      <c r="N295" s="92"/>
      <c r="O295" s="110"/>
    </row>
    <row r="296" spans="2:22" x14ac:dyDescent="0.2">
      <c r="B296" s="87"/>
      <c r="N296" s="92"/>
      <c r="O296" s="110"/>
    </row>
    <row r="297" spans="2:22" x14ac:dyDescent="0.2">
      <c r="B297" s="87"/>
      <c r="N297" s="92"/>
      <c r="O297" s="110"/>
    </row>
    <row r="298" spans="2:22" ht="20" thickBot="1" x14ac:dyDescent="0.3">
      <c r="B298" s="87"/>
      <c r="J298" s="90"/>
      <c r="K298" s="90"/>
      <c r="N298" s="92"/>
      <c r="O298" s="110"/>
    </row>
    <row r="299" spans="2:22" ht="16" customHeight="1" x14ac:dyDescent="0.2">
      <c r="B299" s="757" t="s">
        <v>26</v>
      </c>
      <c r="D299" s="831" t="s">
        <v>948</v>
      </c>
      <c r="E299" s="832"/>
      <c r="F299" s="832"/>
      <c r="G299" s="833"/>
      <c r="I299" s="852" t="s">
        <v>949</v>
      </c>
      <c r="J299" s="853"/>
      <c r="K299" s="854"/>
      <c r="L299" s="169"/>
      <c r="M299" s="94"/>
      <c r="N299" s="92"/>
      <c r="O299" s="110"/>
    </row>
    <row r="300" spans="2:22" ht="20" thickBot="1" x14ac:dyDescent="0.25">
      <c r="B300" s="758"/>
      <c r="D300" s="944" t="s">
        <v>524</v>
      </c>
      <c r="E300" s="945"/>
      <c r="F300" s="945"/>
      <c r="G300" s="946"/>
      <c r="I300" s="834" t="s">
        <v>524</v>
      </c>
      <c r="J300" s="835"/>
      <c r="K300" s="836"/>
      <c r="L300" s="169"/>
      <c r="M300" s="94"/>
      <c r="N300" s="92"/>
      <c r="O300" s="110"/>
    </row>
    <row r="301" spans="2:22" ht="20" x14ac:dyDescent="0.2">
      <c r="B301" s="758"/>
      <c r="D301" s="947" t="s">
        <v>62</v>
      </c>
      <c r="E301" s="948"/>
      <c r="F301" s="948"/>
      <c r="G301" s="246" t="s">
        <v>212</v>
      </c>
      <c r="I301" s="855" t="s">
        <v>62</v>
      </c>
      <c r="J301" s="856"/>
      <c r="K301" s="492" t="s">
        <v>212</v>
      </c>
      <c r="L301" s="232"/>
      <c r="M301" s="5"/>
      <c r="N301" s="92"/>
      <c r="O301" s="110"/>
    </row>
    <row r="302" spans="2:22" ht="19" x14ac:dyDescent="0.2">
      <c r="B302" s="758"/>
      <c r="D302" s="839" t="s">
        <v>907</v>
      </c>
      <c r="E302" s="840"/>
      <c r="F302" s="840"/>
      <c r="G302" s="370">
        <f>L263</f>
        <v>120621</v>
      </c>
      <c r="I302" s="839" t="s">
        <v>927</v>
      </c>
      <c r="J302" s="840"/>
      <c r="K302" s="510">
        <f>N264+J270+J271+M295</f>
        <v>3467844</v>
      </c>
      <c r="L302" s="486"/>
      <c r="M302" s="788"/>
      <c r="N302" s="788"/>
      <c r="O302" s="788"/>
      <c r="P302" s="788"/>
      <c r="Q302" s="788"/>
      <c r="R302" s="5"/>
      <c r="S302" s="5"/>
      <c r="T302" s="103"/>
      <c r="U302" s="5"/>
      <c r="V302" s="5"/>
    </row>
    <row r="303" spans="2:22" ht="19" x14ac:dyDescent="0.2">
      <c r="B303" s="758"/>
      <c r="D303" s="841" t="s">
        <v>161</v>
      </c>
      <c r="E303" s="842"/>
      <c r="F303" s="842"/>
      <c r="G303" s="371">
        <f>L263+J270+J271+M279</f>
        <v>4270688</v>
      </c>
      <c r="I303" s="841" t="s">
        <v>929</v>
      </c>
      <c r="J303" s="842"/>
      <c r="K303" s="190">
        <f>N265+J270+J271+M295</f>
        <v>3467844</v>
      </c>
      <c r="L303" s="188"/>
      <c r="M303" s="788"/>
      <c r="N303" s="788"/>
      <c r="O303" s="788"/>
      <c r="P303" s="788"/>
      <c r="Q303" s="788"/>
      <c r="S303" s="157"/>
      <c r="T303" s="369"/>
      <c r="U303" s="242"/>
      <c r="V303" s="19"/>
    </row>
    <row r="304" spans="2:22" ht="20" thickBot="1" x14ac:dyDescent="0.25">
      <c r="B304" s="759"/>
      <c r="D304" s="820" t="s">
        <v>162</v>
      </c>
      <c r="E304" s="821"/>
      <c r="F304" s="821"/>
      <c r="G304" s="372">
        <f>L263+J270+J271+M295</f>
        <v>3467844</v>
      </c>
      <c r="I304" s="839" t="s">
        <v>930</v>
      </c>
      <c r="J304" s="840"/>
      <c r="K304" s="191">
        <f>N266+J270+J271</f>
        <v>3004589</v>
      </c>
      <c r="L304" s="188"/>
      <c r="M304" s="788"/>
      <c r="N304" s="788"/>
      <c r="O304" s="788"/>
      <c r="P304" s="788"/>
      <c r="Q304" s="788"/>
      <c r="S304" s="157"/>
      <c r="T304" s="91"/>
      <c r="U304" s="157"/>
      <c r="V304" s="18"/>
    </row>
    <row r="305" spans="2:22" ht="19" x14ac:dyDescent="0.2">
      <c r="B305" s="12"/>
      <c r="I305" s="839" t="s">
        <v>923</v>
      </c>
      <c r="J305" s="840"/>
      <c r="K305" s="511">
        <f>N267+J270+J271+M279</f>
        <v>4391309</v>
      </c>
      <c r="M305" s="788"/>
      <c r="N305" s="788"/>
      <c r="O305" s="788"/>
      <c r="P305" s="788"/>
      <c r="Q305" s="788"/>
      <c r="S305" s="157"/>
      <c r="T305" s="91"/>
      <c r="U305" s="157"/>
      <c r="V305" s="18"/>
    </row>
    <row r="306" spans="2:22" ht="19" x14ac:dyDescent="0.2">
      <c r="I306" s="841" t="s">
        <v>924</v>
      </c>
      <c r="J306" s="842"/>
      <c r="K306" s="190">
        <f>N268+J270+J271+M279</f>
        <v>4391309</v>
      </c>
      <c r="M306" s="788"/>
      <c r="N306" s="788"/>
      <c r="O306" s="788"/>
      <c r="P306" s="788"/>
      <c r="Q306" s="788"/>
      <c r="R306" s="92"/>
      <c r="S306" s="91"/>
      <c r="T306" s="91"/>
      <c r="U306" s="70"/>
      <c r="V306" s="125"/>
    </row>
    <row r="307" spans="2:22" ht="20" thickBot="1" x14ac:dyDescent="0.25">
      <c r="I307" s="820" t="s">
        <v>926</v>
      </c>
      <c r="J307" s="821"/>
      <c r="K307" s="319">
        <f>N269+J270+J271+M279</f>
        <v>4511930</v>
      </c>
      <c r="N307" s="92"/>
      <c r="O307" s="110"/>
    </row>
    <row r="308" spans="2:22" x14ac:dyDescent="0.2">
      <c r="N308" s="92"/>
      <c r="O308" s="110"/>
    </row>
    <row r="309" spans="2:22" ht="19" x14ac:dyDescent="0.2">
      <c r="H309" s="169"/>
      <c r="I309" s="92"/>
      <c r="N309" s="92"/>
      <c r="O309" s="110"/>
    </row>
    <row r="310" spans="2:22" ht="19" x14ac:dyDescent="0.2">
      <c r="H310" s="169"/>
      <c r="I310" s="92"/>
      <c r="N310" s="92"/>
      <c r="O310" s="110"/>
    </row>
    <row r="311" spans="2:22" ht="19" x14ac:dyDescent="0.2">
      <c r="H311" s="232"/>
      <c r="I311" s="92"/>
      <c r="N311" s="92"/>
      <c r="O311" s="110"/>
    </row>
    <row r="312" spans="2:22" ht="19" x14ac:dyDescent="0.2">
      <c r="D312" s="493"/>
      <c r="E312" s="493"/>
      <c r="F312" s="493"/>
      <c r="G312" s="493"/>
      <c r="H312" s="486"/>
      <c r="I312" s="92"/>
      <c r="N312" s="92"/>
      <c r="O312" s="110"/>
    </row>
    <row r="313" spans="2:22" ht="19" x14ac:dyDescent="0.2">
      <c r="D313" s="169"/>
      <c r="E313" s="169"/>
      <c r="F313" s="169"/>
      <c r="G313" s="169"/>
      <c r="H313" s="188"/>
      <c r="I313" s="92"/>
      <c r="N313" s="92"/>
      <c r="O313" s="110"/>
    </row>
    <row r="314" spans="2:22" ht="19" x14ac:dyDescent="0.2">
      <c r="D314" s="493"/>
      <c r="E314" s="493"/>
      <c r="F314" s="493"/>
      <c r="G314" s="493"/>
      <c r="H314" s="188"/>
      <c r="I314" s="92"/>
      <c r="N314" s="92"/>
      <c r="O314" s="110"/>
    </row>
    <row r="315" spans="2:22" x14ac:dyDescent="0.2">
      <c r="D315" s="60"/>
      <c r="E315" s="69"/>
      <c r="F315" s="69"/>
      <c r="G315" s="69"/>
      <c r="H315" s="92"/>
      <c r="I315" s="92"/>
      <c r="N315" s="92"/>
      <c r="O315" s="110"/>
    </row>
    <row r="316" spans="2:22" x14ac:dyDescent="0.2">
      <c r="D316" s="69"/>
      <c r="E316" s="69"/>
      <c r="F316" s="69"/>
      <c r="G316" s="69"/>
      <c r="H316" s="92"/>
      <c r="I316" s="92"/>
      <c r="N316" s="92"/>
      <c r="O316" s="110"/>
    </row>
    <row r="317" spans="2:22" x14ac:dyDescent="0.2">
      <c r="D317" s="69"/>
      <c r="E317" s="69"/>
      <c r="F317" s="69"/>
      <c r="G317" s="69"/>
      <c r="H317" s="92"/>
      <c r="I317" s="92"/>
      <c r="N317" s="92"/>
      <c r="O317" s="110"/>
    </row>
    <row r="318" spans="2:22" x14ac:dyDescent="0.2">
      <c r="N318" s="92"/>
      <c r="O318" s="110"/>
    </row>
    <row r="319" spans="2:22" x14ac:dyDescent="0.2">
      <c r="N319" s="92"/>
      <c r="O319" s="110"/>
    </row>
    <row r="320" spans="2:22" x14ac:dyDescent="0.2">
      <c r="N320" s="92"/>
      <c r="O320" s="110"/>
    </row>
    <row r="321" spans="14:15" x14ac:dyDescent="0.2">
      <c r="N321" s="92"/>
      <c r="O321" s="110"/>
    </row>
    <row r="322" spans="14:15" x14ac:dyDescent="0.2">
      <c r="N322" s="92"/>
      <c r="O322" s="110"/>
    </row>
    <row r="323" spans="14:15" x14ac:dyDescent="0.2">
      <c r="N323" s="92"/>
      <c r="O323" s="110"/>
    </row>
    <row r="324" spans="14:15" x14ac:dyDescent="0.2">
      <c r="N324" s="92"/>
      <c r="O324" s="110"/>
    </row>
    <row r="325" spans="14:15" x14ac:dyDescent="0.2">
      <c r="N325" s="92"/>
      <c r="O325" s="110"/>
    </row>
    <row r="326" spans="14:15" x14ac:dyDescent="0.2">
      <c r="N326" s="92"/>
      <c r="O326" s="110"/>
    </row>
    <row r="327" spans="14:15" x14ac:dyDescent="0.2">
      <c r="N327" s="92"/>
      <c r="O327" s="110"/>
    </row>
    <row r="328" spans="14:15" x14ac:dyDescent="0.2">
      <c r="N328" s="92"/>
      <c r="O328" s="110"/>
    </row>
    <row r="329" spans="14:15" x14ac:dyDescent="0.2">
      <c r="N329" s="92"/>
      <c r="O329" s="110"/>
    </row>
    <row r="330" spans="14:15" x14ac:dyDescent="0.2">
      <c r="N330" s="92"/>
      <c r="O330" s="110"/>
    </row>
    <row r="331" spans="14:15" x14ac:dyDescent="0.2">
      <c r="N331" s="92"/>
      <c r="O331" s="110"/>
    </row>
    <row r="332" spans="14:15" x14ac:dyDescent="0.2">
      <c r="N332" s="92"/>
      <c r="O332" s="110"/>
    </row>
    <row r="333" spans="14:15" x14ac:dyDescent="0.2">
      <c r="N333" s="92"/>
      <c r="O333" s="110"/>
    </row>
    <row r="334" spans="14:15" x14ac:dyDescent="0.2">
      <c r="N334" s="92"/>
      <c r="O334" s="110"/>
    </row>
    <row r="335" spans="14:15" x14ac:dyDescent="0.2">
      <c r="N335" s="92"/>
      <c r="O335" s="110"/>
    </row>
    <row r="336" spans="14:15" x14ac:dyDescent="0.2">
      <c r="N336" s="92"/>
      <c r="O336" s="110"/>
    </row>
    <row r="337" spans="14:15" x14ac:dyDescent="0.2">
      <c r="N337" s="92"/>
      <c r="O337" s="110"/>
    </row>
    <row r="338" spans="14:15" x14ac:dyDescent="0.2">
      <c r="N338" s="92"/>
      <c r="O338" s="110"/>
    </row>
    <row r="339" spans="14:15" x14ac:dyDescent="0.2">
      <c r="N339" s="92"/>
      <c r="O339" s="110"/>
    </row>
    <row r="340" spans="14:15" x14ac:dyDescent="0.2">
      <c r="N340" s="92"/>
      <c r="O340" s="110"/>
    </row>
    <row r="341" spans="14:15" x14ac:dyDescent="0.2">
      <c r="N341" s="92"/>
      <c r="O341" s="110"/>
    </row>
    <row r="342" spans="14:15" x14ac:dyDescent="0.2">
      <c r="N342" s="92"/>
      <c r="O342" s="110"/>
    </row>
    <row r="343" spans="14:15" x14ac:dyDescent="0.2">
      <c r="N343" s="92"/>
      <c r="O343" s="110"/>
    </row>
    <row r="344" spans="14:15" x14ac:dyDescent="0.2">
      <c r="N344" s="92"/>
      <c r="O344" s="110"/>
    </row>
    <row r="345" spans="14:15" x14ac:dyDescent="0.2">
      <c r="N345" s="92"/>
      <c r="O345" s="110"/>
    </row>
    <row r="346" spans="14:15" x14ac:dyDescent="0.2">
      <c r="N346" s="92"/>
      <c r="O346" s="110"/>
    </row>
    <row r="347" spans="14:15" x14ac:dyDescent="0.2">
      <c r="N347" s="92"/>
      <c r="O347" s="110"/>
    </row>
    <row r="348" spans="14:15" x14ac:dyDescent="0.2">
      <c r="N348" s="92"/>
      <c r="O348" s="110"/>
    </row>
    <row r="349" spans="14:15" x14ac:dyDescent="0.2">
      <c r="N349" s="92"/>
      <c r="O349" s="110"/>
    </row>
    <row r="350" spans="14:15" x14ac:dyDescent="0.2">
      <c r="N350" s="92"/>
      <c r="O350" s="110"/>
    </row>
    <row r="351" spans="14:15" x14ac:dyDescent="0.2">
      <c r="N351" s="92"/>
      <c r="O351" s="110"/>
    </row>
    <row r="352" spans="14:15" x14ac:dyDescent="0.2">
      <c r="N352" s="92"/>
      <c r="O352" s="110"/>
    </row>
    <row r="353" spans="4:17" x14ac:dyDescent="0.2">
      <c r="N353" s="92"/>
      <c r="O353" s="110"/>
    </row>
    <row r="354" spans="4:17" x14ac:dyDescent="0.2">
      <c r="N354" s="92"/>
      <c r="O354" s="110"/>
    </row>
    <row r="355" spans="4:17" x14ac:dyDescent="0.2">
      <c r="N355" s="92"/>
      <c r="O355" s="110"/>
    </row>
    <row r="356" spans="4:17" x14ac:dyDescent="0.2">
      <c r="N356" s="92"/>
      <c r="O356" s="110"/>
    </row>
    <row r="357" spans="4:17" x14ac:dyDescent="0.2">
      <c r="N357" s="92"/>
      <c r="O357" s="110"/>
    </row>
    <row r="358" spans="4:17" x14ac:dyDescent="0.2">
      <c r="N358" s="92"/>
      <c r="O358" s="110"/>
    </row>
    <row r="359" spans="4:17" x14ac:dyDescent="0.2">
      <c r="N359" s="92"/>
      <c r="O359" s="110"/>
      <c r="Q359" s="60"/>
    </row>
    <row r="362" spans="4:17" x14ac:dyDescent="0.2">
      <c r="D362" s="112"/>
      <c r="E362" s="113"/>
      <c r="F362" s="60"/>
      <c r="G362" s="60"/>
    </row>
    <row r="363" spans="4:17" x14ac:dyDescent="0.2">
      <c r="D363" s="114"/>
      <c r="E363" s="113"/>
      <c r="F363" s="60"/>
      <c r="G363" s="60"/>
    </row>
    <row r="364" spans="4:17" x14ac:dyDescent="0.2">
      <c r="D364" s="112"/>
      <c r="E364" s="113"/>
      <c r="F364" s="60"/>
      <c r="G364" s="60"/>
    </row>
    <row r="365" spans="4:17" x14ac:dyDescent="0.2">
      <c r="D365" s="114"/>
      <c r="E365" s="113"/>
      <c r="F365" s="60"/>
      <c r="G365" s="60"/>
    </row>
    <row r="366" spans="4:17" x14ac:dyDescent="0.2">
      <c r="D366" s="114"/>
      <c r="E366" s="113"/>
      <c r="F366" s="60"/>
      <c r="G366" s="60"/>
    </row>
    <row r="367" spans="4:17" x14ac:dyDescent="0.2">
      <c r="E367" s="80"/>
    </row>
    <row r="373" spans="3:20" x14ac:dyDescent="0.2">
      <c r="C373" s="14"/>
      <c r="D373" s="110"/>
      <c r="J373" s="110"/>
      <c r="P373" s="110"/>
    </row>
    <row r="374" spans="3:20" x14ac:dyDescent="0.2">
      <c r="C374" s="14"/>
      <c r="D374" s="110"/>
      <c r="J374" s="110"/>
      <c r="P374" s="110"/>
    </row>
    <row r="375" spans="3:20" ht="19" x14ac:dyDescent="0.2">
      <c r="C375" s="14"/>
      <c r="J375" s="972"/>
      <c r="K375" s="972"/>
      <c r="L375" s="972"/>
      <c r="M375" s="972"/>
      <c r="N375" s="972"/>
      <c r="P375" s="972"/>
      <c r="Q375" s="972"/>
      <c r="R375" s="972"/>
      <c r="S375" s="972"/>
      <c r="T375" s="972"/>
    </row>
    <row r="376" spans="3:20" x14ac:dyDescent="0.2">
      <c r="C376" s="14"/>
      <c r="J376" s="787"/>
      <c r="K376" s="5"/>
      <c r="L376" s="5"/>
      <c r="M376" s="5"/>
      <c r="N376" s="5"/>
      <c r="P376" s="787"/>
      <c r="Q376" s="5"/>
      <c r="R376" s="5"/>
      <c r="S376" s="5"/>
      <c r="T376" s="5"/>
    </row>
    <row r="377" spans="3:20" x14ac:dyDescent="0.2">
      <c r="C377" s="14"/>
      <c r="J377" s="787"/>
      <c r="L377" s="19"/>
      <c r="M377" s="60"/>
      <c r="N377" s="18"/>
      <c r="P377" s="787"/>
      <c r="R377" s="19"/>
      <c r="S377" s="60"/>
      <c r="T377" s="18"/>
    </row>
    <row r="378" spans="3:20" x14ac:dyDescent="0.2">
      <c r="C378" s="14"/>
      <c r="J378" s="787"/>
      <c r="L378" s="971"/>
      <c r="M378" s="971"/>
      <c r="N378" s="13"/>
      <c r="P378" s="787"/>
      <c r="R378" s="971"/>
      <c r="S378" s="971"/>
      <c r="T378" s="13"/>
    </row>
    <row r="379" spans="3:20" x14ac:dyDescent="0.2">
      <c r="C379" s="14"/>
    </row>
    <row r="380" spans="3:20" x14ac:dyDescent="0.2">
      <c r="C380" s="14"/>
      <c r="J380" s="787"/>
      <c r="K380" s="5"/>
      <c r="L380" s="5"/>
      <c r="M380" s="5"/>
      <c r="N380" s="5"/>
      <c r="P380" s="787"/>
      <c r="Q380" s="5"/>
      <c r="R380" s="5"/>
      <c r="S380" s="5"/>
      <c r="T380" s="5"/>
    </row>
    <row r="381" spans="3:20" x14ac:dyDescent="0.2">
      <c r="C381" s="14"/>
      <c r="J381" s="787"/>
      <c r="L381" s="19"/>
      <c r="M381" s="60"/>
      <c r="N381" s="18"/>
      <c r="P381" s="787"/>
      <c r="R381" s="19"/>
      <c r="S381" s="60"/>
      <c r="T381" s="18"/>
    </row>
    <row r="382" spans="3:20" x14ac:dyDescent="0.2">
      <c r="C382" s="14"/>
      <c r="J382" s="787"/>
      <c r="L382" s="19"/>
      <c r="M382" s="60"/>
      <c r="N382" s="18"/>
      <c r="P382" s="787"/>
      <c r="R382" s="19"/>
      <c r="S382" s="60"/>
      <c r="T382" s="18"/>
    </row>
    <row r="383" spans="3:20" x14ac:dyDescent="0.2">
      <c r="C383" s="14"/>
      <c r="J383" s="787"/>
      <c r="L383" s="19"/>
      <c r="M383" s="60"/>
      <c r="N383" s="18"/>
      <c r="P383" s="787"/>
      <c r="R383" s="19"/>
      <c r="S383" s="60"/>
      <c r="T383" s="18"/>
    </row>
    <row r="384" spans="3:20" x14ac:dyDescent="0.2">
      <c r="C384" s="14"/>
      <c r="J384" s="787"/>
      <c r="L384" s="19"/>
      <c r="M384" s="60"/>
      <c r="N384" s="18"/>
      <c r="P384" s="787"/>
      <c r="R384" s="19"/>
      <c r="S384" s="60"/>
      <c r="T384" s="18"/>
    </row>
    <row r="385" spans="4:20" x14ac:dyDescent="0.2">
      <c r="J385" s="787"/>
      <c r="L385" s="19"/>
      <c r="M385" s="60"/>
      <c r="N385" s="18"/>
      <c r="P385" s="787"/>
      <c r="R385" s="19"/>
      <c r="S385" s="60"/>
      <c r="T385" s="18"/>
    </row>
    <row r="386" spans="4:20" x14ac:dyDescent="0.2">
      <c r="J386" s="787"/>
      <c r="L386" s="19"/>
      <c r="M386" s="60"/>
      <c r="N386" s="18"/>
      <c r="P386" s="787"/>
      <c r="R386" s="19"/>
      <c r="S386" s="60"/>
      <c r="T386" s="18"/>
    </row>
    <row r="387" spans="4:20" x14ac:dyDescent="0.2">
      <c r="J387" s="787"/>
      <c r="L387" s="19"/>
      <c r="M387" s="60"/>
      <c r="N387" s="18"/>
      <c r="P387" s="787"/>
      <c r="R387" s="19"/>
      <c r="S387" s="60"/>
      <c r="T387" s="18"/>
    </row>
    <row r="388" spans="4:20" x14ac:dyDescent="0.2">
      <c r="J388" s="787"/>
      <c r="L388" s="19"/>
      <c r="M388" s="60"/>
      <c r="N388" s="18"/>
      <c r="P388" s="787"/>
      <c r="R388" s="19"/>
      <c r="S388" s="60"/>
      <c r="T388" s="18"/>
    </row>
    <row r="389" spans="4:20" x14ac:dyDescent="0.2">
      <c r="J389" s="787"/>
      <c r="L389" s="19"/>
      <c r="M389" s="60"/>
      <c r="N389" s="18"/>
      <c r="P389" s="787"/>
      <c r="R389" s="19"/>
      <c r="S389" s="60"/>
      <c r="T389" s="18"/>
    </row>
    <row r="390" spans="4:20" x14ac:dyDescent="0.2">
      <c r="J390" s="787"/>
      <c r="L390" s="19"/>
      <c r="M390" s="60"/>
      <c r="N390" s="18"/>
      <c r="P390" s="787"/>
      <c r="R390" s="19"/>
      <c r="S390" s="60"/>
      <c r="T390" s="18"/>
    </row>
    <row r="391" spans="4:20" x14ac:dyDescent="0.2">
      <c r="J391" s="787"/>
      <c r="L391" s="19"/>
      <c r="M391" s="60"/>
      <c r="N391" s="18"/>
      <c r="P391" s="787"/>
      <c r="R391" s="19"/>
      <c r="S391" s="60"/>
      <c r="T391" s="18"/>
    </row>
    <row r="392" spans="4:20" x14ac:dyDescent="0.2">
      <c r="J392" s="787"/>
      <c r="L392" s="19"/>
      <c r="M392" s="60"/>
      <c r="N392" s="18"/>
      <c r="P392" s="787"/>
      <c r="R392" s="19"/>
      <c r="S392" s="60"/>
      <c r="T392" s="18"/>
    </row>
    <row r="393" spans="4:20" x14ac:dyDescent="0.2">
      <c r="J393" s="787"/>
      <c r="L393" s="19"/>
      <c r="M393" s="60"/>
      <c r="N393" s="18"/>
      <c r="P393" s="787"/>
      <c r="R393" s="19"/>
      <c r="S393" s="60"/>
      <c r="T393" s="18"/>
    </row>
    <row r="394" spans="4:20" x14ac:dyDescent="0.2">
      <c r="J394" s="787"/>
      <c r="L394" s="970"/>
      <c r="M394" s="970"/>
      <c r="N394" s="82"/>
      <c r="P394" s="787"/>
      <c r="R394" s="970"/>
      <c r="S394" s="970"/>
      <c r="T394" s="82"/>
    </row>
    <row r="395" spans="4:20" x14ac:dyDescent="0.2">
      <c r="D395" s="38"/>
      <c r="P395" s="12"/>
    </row>
    <row r="396" spans="4:20" x14ac:dyDescent="0.2">
      <c r="D396" s="38"/>
      <c r="P396" s="12"/>
    </row>
    <row r="397" spans="4:20" x14ac:dyDescent="0.2">
      <c r="D397" s="38"/>
      <c r="P397" s="12"/>
    </row>
    <row r="398" spans="4:20" x14ac:dyDescent="0.2">
      <c r="P398" s="12"/>
    </row>
    <row r="399" spans="4:20" x14ac:dyDescent="0.2">
      <c r="P399" s="12"/>
    </row>
    <row r="400" spans="4:20" x14ac:dyDescent="0.2">
      <c r="P400" s="12"/>
    </row>
    <row r="401" spans="3:16" x14ac:dyDescent="0.2">
      <c r="P401" s="12"/>
    </row>
    <row r="402" spans="3:16" x14ac:dyDescent="0.2">
      <c r="C402" s="12"/>
      <c r="P402" s="12"/>
    </row>
    <row r="403" spans="3:16" x14ac:dyDescent="0.2">
      <c r="C403" s="12"/>
      <c r="P403" s="12"/>
    </row>
    <row r="404" spans="3:16" x14ac:dyDescent="0.2">
      <c r="C404" s="12"/>
      <c r="P404" s="12"/>
    </row>
    <row r="405" spans="3:16" x14ac:dyDescent="0.2">
      <c r="P405" s="12"/>
    </row>
    <row r="406" spans="3:16" x14ac:dyDescent="0.2">
      <c r="P406" s="12"/>
    </row>
    <row r="407" spans="3:16" x14ac:dyDescent="0.2">
      <c r="P407" s="12"/>
    </row>
    <row r="408" spans="3:16" x14ac:dyDescent="0.2">
      <c r="P408" s="12"/>
    </row>
    <row r="409" spans="3:16" x14ac:dyDescent="0.2">
      <c r="C409" s="14"/>
      <c r="M409" s="19"/>
      <c r="P409" s="12"/>
    </row>
    <row r="410" spans="3:16" x14ac:dyDescent="0.2">
      <c r="C410" s="14"/>
      <c r="M410" s="19"/>
      <c r="P410" s="12"/>
    </row>
    <row r="411" spans="3:16" x14ac:dyDescent="0.2">
      <c r="C411" s="14"/>
      <c r="M411" s="19"/>
      <c r="P411" s="12"/>
    </row>
    <row r="412" spans="3:16" x14ac:dyDescent="0.2">
      <c r="C412" s="14"/>
      <c r="M412" s="19"/>
      <c r="P412" s="12"/>
    </row>
    <row r="413" spans="3:16" x14ac:dyDescent="0.2">
      <c r="C413" s="14"/>
      <c r="P413" s="12"/>
    </row>
    <row r="414" spans="3:16" x14ac:dyDescent="0.2">
      <c r="P414" s="12"/>
    </row>
    <row r="415" spans="3:16" x14ac:dyDescent="0.2">
      <c r="P415" s="12"/>
    </row>
  </sheetData>
  <sheetProtection algorithmName="SHA-512" hashValue="yMJqPWaTQXcC8r9iIf5tSYH+wcRXGC9jJsVXSXx3+UEdQabuA+LC00Nc2exM+964vJx2axgNpQBpOxuk/Psv+w==" saltValue="Zd6zd/ioJXqvgyFMVqkrzQ==" spinCount="100000" sheet="1" objects="1" scenarios="1"/>
  <mergeCells count="263">
    <mergeCell ref="B261:B295"/>
    <mergeCell ref="D2:I2"/>
    <mergeCell ref="D13:H13"/>
    <mergeCell ref="D3:E3"/>
    <mergeCell ref="K3:L3"/>
    <mergeCell ref="K10:N16"/>
    <mergeCell ref="B2:B257"/>
    <mergeCell ref="D4:E4"/>
    <mergeCell ref="H59:J59"/>
    <mergeCell ref="G57:J57"/>
    <mergeCell ref="G231:J231"/>
    <mergeCell ref="I209:J209"/>
    <mergeCell ref="I200:J200"/>
    <mergeCell ref="H201:J201"/>
    <mergeCell ref="I202:J202"/>
    <mergeCell ref="I203:J203"/>
    <mergeCell ref="I204:J204"/>
    <mergeCell ref="I205:J205"/>
    <mergeCell ref="I206:J206"/>
    <mergeCell ref="I76:J76"/>
    <mergeCell ref="I80:J80"/>
    <mergeCell ref="I81:J81"/>
    <mergeCell ref="I83:J83"/>
    <mergeCell ref="H84:J84"/>
    <mergeCell ref="I307:J307"/>
    <mergeCell ref="K9:N9"/>
    <mergeCell ref="D5:E5"/>
    <mergeCell ref="D6:E6"/>
    <mergeCell ref="D7:E7"/>
    <mergeCell ref="D8:E8"/>
    <mergeCell ref="I299:K299"/>
    <mergeCell ref="I300:K300"/>
    <mergeCell ref="I301:J301"/>
    <mergeCell ref="I302:J302"/>
    <mergeCell ref="I303:J303"/>
    <mergeCell ref="G47:J47"/>
    <mergeCell ref="H46:J46"/>
    <mergeCell ref="I44:J44"/>
    <mergeCell ref="I45:J45"/>
    <mergeCell ref="H43:J43"/>
    <mergeCell ref="H42:J42"/>
    <mergeCell ref="G41:J41"/>
    <mergeCell ref="H40:J40"/>
    <mergeCell ref="F29:J29"/>
    <mergeCell ref="H207:J207"/>
    <mergeCell ref="D262:H272"/>
    <mergeCell ref="I82:J82"/>
    <mergeCell ref="I77:J77"/>
    <mergeCell ref="H78:J78"/>
    <mergeCell ref="I79:J79"/>
    <mergeCell ref="G70:J70"/>
    <mergeCell ref="H71:J71"/>
    <mergeCell ref="H72:J72"/>
    <mergeCell ref="H56:J56"/>
    <mergeCell ref="H58:J58"/>
    <mergeCell ref="R394:S394"/>
    <mergeCell ref="J376:J378"/>
    <mergeCell ref="L378:M378"/>
    <mergeCell ref="J380:J394"/>
    <mergeCell ref="L394:M394"/>
    <mergeCell ref="P375:T375"/>
    <mergeCell ref="P376:P378"/>
    <mergeCell ref="R378:S378"/>
    <mergeCell ref="P380:P394"/>
    <mergeCell ref="J375:N375"/>
    <mergeCell ref="H85:J85"/>
    <mergeCell ref="H68:J68"/>
    <mergeCell ref="G69:J69"/>
    <mergeCell ref="H60:J60"/>
    <mergeCell ref="H61:J61"/>
    <mergeCell ref="F62:J62"/>
    <mergeCell ref="G63:J63"/>
    <mergeCell ref="G64:J64"/>
    <mergeCell ref="H75:J75"/>
    <mergeCell ref="G232:J232"/>
    <mergeCell ref="G230:J230"/>
    <mergeCell ref="I208:J208"/>
    <mergeCell ref="G26:J26"/>
    <mergeCell ref="B299:B304"/>
    <mergeCell ref="K295:L295"/>
    <mergeCell ref="D281:I295"/>
    <mergeCell ref="D274:I279"/>
    <mergeCell ref="H54:J54"/>
    <mergeCell ref="G65:J65"/>
    <mergeCell ref="H66:J66"/>
    <mergeCell ref="H67:J67"/>
    <mergeCell ref="H55:J55"/>
    <mergeCell ref="I92:J92"/>
    <mergeCell ref="I93:J93"/>
    <mergeCell ref="H94:J94"/>
    <mergeCell ref="H101:J101"/>
    <mergeCell ref="H102:J102"/>
    <mergeCell ref="G103:J103"/>
    <mergeCell ref="H104:J104"/>
    <mergeCell ref="H95:J95"/>
    <mergeCell ref="G96:J96"/>
    <mergeCell ref="D21:J21"/>
    <mergeCell ref="E22:J22"/>
    <mergeCell ref="F23:J23"/>
    <mergeCell ref="G38:J38"/>
    <mergeCell ref="H39:J39"/>
    <mergeCell ref="H50:J50"/>
    <mergeCell ref="G51:J51"/>
    <mergeCell ref="H52:J52"/>
    <mergeCell ref="H53:J53"/>
    <mergeCell ref="H48:J48"/>
    <mergeCell ref="H49:J49"/>
    <mergeCell ref="D18:N19"/>
    <mergeCell ref="F24:J24"/>
    <mergeCell ref="F25:J25"/>
    <mergeCell ref="D9:E9"/>
    <mergeCell ref="D10:E10"/>
    <mergeCell ref="F73:J73"/>
    <mergeCell ref="G74:J74"/>
    <mergeCell ref="I90:J90"/>
    <mergeCell ref="I91:J91"/>
    <mergeCell ref="G86:J86"/>
    <mergeCell ref="H87:J87"/>
    <mergeCell ref="H88:J88"/>
    <mergeCell ref="I89:J89"/>
    <mergeCell ref="D20:J20"/>
    <mergeCell ref="G27:J27"/>
    <mergeCell ref="H35:J35"/>
    <mergeCell ref="H36:J36"/>
    <mergeCell ref="G37:J37"/>
    <mergeCell ref="G30:J30"/>
    <mergeCell ref="H31:J31"/>
    <mergeCell ref="H32:J32"/>
    <mergeCell ref="H33:J33"/>
    <mergeCell ref="G34:J34"/>
    <mergeCell ref="E28:J28"/>
    <mergeCell ref="H97:J97"/>
    <mergeCell ref="H98:J98"/>
    <mergeCell ref="H99:J99"/>
    <mergeCell ref="H100:J100"/>
    <mergeCell ref="I110:J110"/>
    <mergeCell ref="I111:J111"/>
    <mergeCell ref="H112:J112"/>
    <mergeCell ref="I113:J113"/>
    <mergeCell ref="I114:J114"/>
    <mergeCell ref="I105:J105"/>
    <mergeCell ref="I106:J106"/>
    <mergeCell ref="I107:J107"/>
    <mergeCell ref="I108:J108"/>
    <mergeCell ref="I109:J109"/>
    <mergeCell ref="I120:J120"/>
    <mergeCell ref="I121:J121"/>
    <mergeCell ref="I122:J122"/>
    <mergeCell ref="I123:J123"/>
    <mergeCell ref="I124:J124"/>
    <mergeCell ref="I115:J115"/>
    <mergeCell ref="I116:J116"/>
    <mergeCell ref="I117:J117"/>
    <mergeCell ref="I118:J118"/>
    <mergeCell ref="H119:J119"/>
    <mergeCell ref="H130:J130"/>
    <mergeCell ref="I131:J131"/>
    <mergeCell ref="I132:J132"/>
    <mergeCell ref="I133:J133"/>
    <mergeCell ref="I134:J134"/>
    <mergeCell ref="I125:J125"/>
    <mergeCell ref="I126:J126"/>
    <mergeCell ref="I127:J127"/>
    <mergeCell ref="I128:J128"/>
    <mergeCell ref="I129:J129"/>
    <mergeCell ref="I140:J140"/>
    <mergeCell ref="I141:J141"/>
    <mergeCell ref="G142:J142"/>
    <mergeCell ref="H143:J143"/>
    <mergeCell ref="H144:J144"/>
    <mergeCell ref="I135:J135"/>
    <mergeCell ref="I136:J136"/>
    <mergeCell ref="I137:J137"/>
    <mergeCell ref="I138:J138"/>
    <mergeCell ref="I139:J139"/>
    <mergeCell ref="I150:J150"/>
    <mergeCell ref="I151:J151"/>
    <mergeCell ref="I152:J152"/>
    <mergeCell ref="I153:J153"/>
    <mergeCell ref="I154:J154"/>
    <mergeCell ref="I145:J145"/>
    <mergeCell ref="I146:J146"/>
    <mergeCell ref="H147:J147"/>
    <mergeCell ref="H148:J148"/>
    <mergeCell ref="I149:J149"/>
    <mergeCell ref="I160:J160"/>
    <mergeCell ref="H161:J161"/>
    <mergeCell ref="H162:J162"/>
    <mergeCell ref="G163:J163"/>
    <mergeCell ref="H164:J164"/>
    <mergeCell ref="I155:J155"/>
    <mergeCell ref="H156:J156"/>
    <mergeCell ref="I157:J157"/>
    <mergeCell ref="I158:J158"/>
    <mergeCell ref="I159:J159"/>
    <mergeCell ref="I170:J170"/>
    <mergeCell ref="H171:J171"/>
    <mergeCell ref="F172:J172"/>
    <mergeCell ref="F173:J173"/>
    <mergeCell ref="G174:J174"/>
    <mergeCell ref="H165:J165"/>
    <mergeCell ref="H166:J166"/>
    <mergeCell ref="H167:J167"/>
    <mergeCell ref="I168:J168"/>
    <mergeCell ref="I169:J169"/>
    <mergeCell ref="G180:J180"/>
    <mergeCell ref="G181:J181"/>
    <mergeCell ref="G182:J182"/>
    <mergeCell ref="H183:J183"/>
    <mergeCell ref="H184:J184"/>
    <mergeCell ref="H175:J175"/>
    <mergeCell ref="H176:J176"/>
    <mergeCell ref="H177:J177"/>
    <mergeCell ref="H178:J178"/>
    <mergeCell ref="H179:J179"/>
    <mergeCell ref="I198:J198"/>
    <mergeCell ref="I199:J199"/>
    <mergeCell ref="H190:J190"/>
    <mergeCell ref="H191:J191"/>
    <mergeCell ref="G192:J192"/>
    <mergeCell ref="H193:J193"/>
    <mergeCell ref="H194:J194"/>
    <mergeCell ref="H185:J185"/>
    <mergeCell ref="F186:J186"/>
    <mergeCell ref="G187:J187"/>
    <mergeCell ref="H188:J188"/>
    <mergeCell ref="H189:J189"/>
    <mergeCell ref="G195:J195"/>
    <mergeCell ref="H196:J196"/>
    <mergeCell ref="I197:J197"/>
    <mergeCell ref="H215:J215"/>
    <mergeCell ref="H216:J216"/>
    <mergeCell ref="G217:J217"/>
    <mergeCell ref="F218:J218"/>
    <mergeCell ref="G219:J219"/>
    <mergeCell ref="H210:J210"/>
    <mergeCell ref="I211:J211"/>
    <mergeCell ref="I212:J212"/>
    <mergeCell ref="G213:J213"/>
    <mergeCell ref="H214:J214"/>
    <mergeCell ref="J235:L235"/>
    <mergeCell ref="J243:L243"/>
    <mergeCell ref="M302:Q306"/>
    <mergeCell ref="D299:G299"/>
    <mergeCell ref="D300:G300"/>
    <mergeCell ref="D301:F301"/>
    <mergeCell ref="D302:F302"/>
    <mergeCell ref="D303:F303"/>
    <mergeCell ref="D304:F304"/>
    <mergeCell ref="I304:J304"/>
    <mergeCell ref="I305:J305"/>
    <mergeCell ref="I306:J306"/>
    <mergeCell ref="D261:N261"/>
    <mergeCell ref="E225:J225"/>
    <mergeCell ref="F226:J226"/>
    <mergeCell ref="F227:J227"/>
    <mergeCell ref="F228:J228"/>
    <mergeCell ref="F229:J229"/>
    <mergeCell ref="G220:J220"/>
    <mergeCell ref="G221:J221"/>
    <mergeCell ref="G222:J222"/>
    <mergeCell ref="G223:J223"/>
    <mergeCell ref="G224:J224"/>
  </mergeCells>
  <hyperlinks>
    <hyperlink ref="N22" r:id="rId1" xr:uid="{736E55BF-05BB-1247-AB0E-7ACC08D58DEA}"/>
    <hyperlink ref="N26" r:id="rId2" xr:uid="{26DC7D43-44DB-264A-A5F1-D2E1AB7AB611}"/>
  </hyperlink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FAD6-112F-8647-B279-7F0E47A4657B}">
  <dimension ref="B1:AD174"/>
  <sheetViews>
    <sheetView zoomScaleNormal="100" workbookViewId="0">
      <selection activeCell="X87" sqref="X87"/>
    </sheetView>
  </sheetViews>
  <sheetFormatPr baseColWidth="10" defaultColWidth="8.83203125" defaultRowHeight="15" x14ac:dyDescent="0.2"/>
  <cols>
    <col min="1" max="1" width="5.83203125" style="1" customWidth="1"/>
    <col min="2" max="2" width="8.83203125" style="1"/>
    <col min="3" max="3" width="5.6640625" style="1" customWidth="1"/>
    <col min="4" max="4" width="35" style="1" bestFit="1" customWidth="1"/>
    <col min="5" max="5" width="35.1640625" style="1" bestFit="1" customWidth="1"/>
    <col min="6" max="6" width="26" style="1" bestFit="1" customWidth="1"/>
    <col min="7" max="7" width="35.5" style="1" bestFit="1" customWidth="1"/>
    <col min="8" max="8" width="13.1640625" style="1" bestFit="1" customWidth="1"/>
    <col min="9" max="9" width="36.6640625" style="1" bestFit="1" customWidth="1"/>
    <col min="10" max="10" width="26.6640625" style="1" customWidth="1"/>
    <col min="11" max="11" width="22.1640625" style="1" customWidth="1"/>
    <col min="12" max="12" width="27" style="1" customWidth="1"/>
    <col min="13" max="13" width="20.33203125" style="1" customWidth="1"/>
    <col min="14" max="14" width="36.6640625" style="1" bestFit="1" customWidth="1"/>
    <col min="15" max="15" width="12.33203125" style="1" bestFit="1" customWidth="1"/>
    <col min="16" max="16" width="11.1640625" style="1" bestFit="1" customWidth="1"/>
    <col min="17" max="17" width="12.33203125" style="1" bestFit="1" customWidth="1"/>
    <col min="18" max="18" width="12.1640625" style="1" bestFit="1" customWidth="1"/>
    <col min="19" max="19" width="31" style="1" bestFit="1" customWidth="1"/>
    <col min="20" max="20" width="21.5" style="1" bestFit="1" customWidth="1"/>
    <col min="21" max="21" width="11.6640625" style="1" customWidth="1"/>
    <col min="22" max="22" width="20.5" style="1" customWidth="1"/>
    <col min="23" max="23" width="35.1640625" style="1" bestFit="1" customWidth="1"/>
    <col min="24" max="24" width="12.33203125" style="1" bestFit="1" customWidth="1"/>
    <col min="25" max="25" width="12.83203125" style="1" customWidth="1"/>
    <col min="26" max="26" width="11.1640625" style="1" customWidth="1"/>
    <col min="27" max="27" width="12.1640625" style="1" bestFit="1" customWidth="1"/>
    <col min="28" max="28" width="31" style="1" bestFit="1" customWidth="1"/>
    <col min="29" max="29" width="21.5" style="1" bestFit="1" customWidth="1"/>
    <col min="30" max="16384" width="8.83203125" style="1"/>
  </cols>
  <sheetData>
    <row r="1" spans="2:14" x14ac:dyDescent="0.2">
      <c r="B1" s="12"/>
    </row>
    <row r="2" spans="2:14" ht="15" customHeight="1" thickBot="1" x14ac:dyDescent="0.25">
      <c r="B2" s="12"/>
      <c r="E2" s="4"/>
    </row>
    <row r="3" spans="2:14" ht="19" customHeight="1" x14ac:dyDescent="0.25">
      <c r="B3" s="757" t="s">
        <v>25</v>
      </c>
      <c r="D3" s="848" t="s">
        <v>18</v>
      </c>
      <c r="E3" s="878"/>
      <c r="F3" s="878"/>
      <c r="G3" s="849"/>
      <c r="H3" s="4"/>
      <c r="I3" s="848" t="s">
        <v>16</v>
      </c>
      <c r="J3" s="878"/>
      <c r="K3" s="878"/>
      <c r="L3" s="849"/>
    </row>
    <row r="4" spans="2:14" ht="36" customHeight="1" thickBot="1" x14ac:dyDescent="0.25">
      <c r="B4" s="758"/>
      <c r="D4" s="291" t="s">
        <v>531</v>
      </c>
      <c r="E4" s="292" t="s">
        <v>14</v>
      </c>
      <c r="F4" s="292" t="s">
        <v>20</v>
      </c>
      <c r="G4" s="363" t="s">
        <v>15</v>
      </c>
      <c r="H4" s="5"/>
      <c r="I4" s="378"/>
      <c r="J4" s="366" t="s">
        <v>78</v>
      </c>
      <c r="K4" s="366" t="s">
        <v>79</v>
      </c>
      <c r="L4" s="367" t="s">
        <v>80</v>
      </c>
    </row>
    <row r="5" spans="2:14" x14ac:dyDescent="0.2">
      <c r="B5" s="758"/>
      <c r="D5" s="389" t="s">
        <v>34</v>
      </c>
      <c r="E5" s="383" t="str">
        <f>'1. MADWEC Installation'!E5</f>
        <v>41.2354° N, 71.0237° W</v>
      </c>
      <c r="F5" s="383" t="str">
        <f>'1. MADWEC Installation'!F5</f>
        <v>40.9334° N, 70.7985° W</v>
      </c>
      <c r="G5" s="384" t="str">
        <f>'1. MADWEC Installation'!G5</f>
        <v>59.0605° N, 152.0117° W</v>
      </c>
      <c r="H5" s="60"/>
      <c r="I5" s="329" t="s">
        <v>93</v>
      </c>
      <c r="J5" s="657">
        <f>'1. MADWEC Installation'!J5</f>
        <v>18</v>
      </c>
      <c r="K5" s="657">
        <f>'1. MADWEC Installation'!K5</f>
        <v>18</v>
      </c>
      <c r="L5" s="581">
        <f>'1. MADWEC Installation'!L5</f>
        <v>10</v>
      </c>
      <c r="M5" s="899" t="s">
        <v>991</v>
      </c>
      <c r="N5" s="896"/>
    </row>
    <row r="6" spans="2:14" x14ac:dyDescent="0.2">
      <c r="B6" s="758"/>
      <c r="D6" s="320" t="s">
        <v>532</v>
      </c>
      <c r="E6" s="325" t="str">
        <f>'1. MADWEC Installation'!E6</f>
        <v>Massachusetts State Waters</v>
      </c>
      <c r="F6" s="325" t="str">
        <f>'1. MADWEC Installation'!F6</f>
        <v>Massachusetts Federal Waters</v>
      </c>
      <c r="G6" s="342" t="str">
        <f>'1. MADWEC Installation'!G6</f>
        <v>Alaska State Waters</v>
      </c>
      <c r="H6" s="60"/>
      <c r="I6" s="323" t="s">
        <v>27</v>
      </c>
      <c r="J6" s="640">
        <f>'1. MADWEC Installation'!J6</f>
        <v>400</v>
      </c>
      <c r="K6" s="640">
        <f>'1. MADWEC Installation'!K6</f>
        <v>400</v>
      </c>
      <c r="L6" s="582">
        <f>'1. MADWEC Installation'!L6</f>
        <v>400</v>
      </c>
      <c r="M6" s="737"/>
      <c r="N6" s="897"/>
    </row>
    <row r="7" spans="2:14" x14ac:dyDescent="0.2">
      <c r="B7" s="758"/>
      <c r="D7" s="320" t="s">
        <v>536</v>
      </c>
      <c r="E7" s="327" t="str">
        <f>'1. MADWEC Installation'!E7</f>
        <v>41.5242° N, 70.6712° W</v>
      </c>
      <c r="F7" s="328" t="str">
        <f>'1. MADWEC Installation'!F7</f>
        <v>41.5242° N, 70.6712° W</v>
      </c>
      <c r="G7" s="342" t="str">
        <f>'1. MADWEC Installation'!G7</f>
        <v>59.6371° N, 151.4522° W</v>
      </c>
      <c r="H7" s="60"/>
      <c r="I7" s="321" t="s">
        <v>74</v>
      </c>
      <c r="J7" s="644">
        <f>'1. MADWEC Installation'!J7</f>
        <v>15000</v>
      </c>
      <c r="K7" s="644">
        <f>'1. MADWEC Installation'!K7</f>
        <v>15000</v>
      </c>
      <c r="L7" s="645">
        <f>'1. MADWEC Installation'!L7</f>
        <v>11375</v>
      </c>
      <c r="M7" s="737"/>
      <c r="N7" s="897"/>
    </row>
    <row r="8" spans="2:14" ht="16" customHeight="1" x14ac:dyDescent="0.2">
      <c r="B8" s="758"/>
      <c r="D8" s="321" t="s">
        <v>540</v>
      </c>
      <c r="E8" s="325" t="str">
        <f>'1. MADWEC Installation'!E8</f>
        <v>WHOI</v>
      </c>
      <c r="F8" s="325" t="str">
        <f>'1. MADWEC Installation'!F8</f>
        <v>WHOI</v>
      </c>
      <c r="G8" s="342" t="str">
        <f>'1. MADWEC Installation'!G8</f>
        <v>City of Homer Port</v>
      </c>
      <c r="H8" s="60"/>
      <c r="I8" s="320" t="s">
        <v>30</v>
      </c>
      <c r="J8" s="667">
        <f>'1. MADWEC Installation'!J8</f>
        <v>1250</v>
      </c>
      <c r="K8" s="667">
        <f>'1. MADWEC Installation'!K8</f>
        <v>1250</v>
      </c>
      <c r="L8" s="668">
        <f>'1. MADWEC Installation'!L8</f>
        <v>947.91666666666663</v>
      </c>
      <c r="M8" s="737"/>
      <c r="N8" s="897"/>
    </row>
    <row r="9" spans="2:14" x14ac:dyDescent="0.2">
      <c r="B9" s="758"/>
      <c r="D9" s="320" t="s">
        <v>542</v>
      </c>
      <c r="E9" s="640">
        <f>'1. MADWEC Installation'!E9</f>
        <v>14</v>
      </c>
      <c r="F9" s="640">
        <f>'1. MADWEC Installation'!F9</f>
        <v>14</v>
      </c>
      <c r="G9" s="582">
        <f>'1. MADWEC Installation'!G9</f>
        <v>0</v>
      </c>
      <c r="H9" s="60"/>
      <c r="I9" s="323" t="s">
        <v>33</v>
      </c>
      <c r="J9" s="640" t="str">
        <f>'1. MADWEC Installation'!J9</f>
        <v>Woods Hole, MA</v>
      </c>
      <c r="K9" s="640" t="str">
        <f>'1. MADWEC Installation'!K9</f>
        <v>Wood's Hole, MA</v>
      </c>
      <c r="L9" s="582" t="str">
        <f>'1. MADWEC Installation'!L9</f>
        <v>Homer, AK</v>
      </c>
      <c r="M9" s="737"/>
      <c r="N9" s="897"/>
    </row>
    <row r="10" spans="2:14" ht="15" customHeight="1" x14ac:dyDescent="0.2">
      <c r="B10" s="758"/>
      <c r="D10" s="322" t="s">
        <v>537</v>
      </c>
      <c r="E10" s="640" t="str">
        <f>'1. MADWEC Installation'!E10</f>
        <v>WHOI</v>
      </c>
      <c r="F10" s="640" t="str">
        <f>'1. MADWEC Installation'!F10</f>
        <v>WHOI</v>
      </c>
      <c r="G10" s="582" t="str">
        <f>'1. MADWEC Installation'!G10</f>
        <v>USFWS</v>
      </c>
      <c r="H10" s="60"/>
      <c r="I10" s="321" t="s">
        <v>0</v>
      </c>
      <c r="J10" s="325">
        <f>'1. MADWEC Installation'!J10</f>
        <v>60</v>
      </c>
      <c r="K10" s="325">
        <f>'1. MADWEC Installation'!K10</f>
        <v>60</v>
      </c>
      <c r="L10" s="342">
        <f>'1. MADWEC Installation'!L10</f>
        <v>120</v>
      </c>
      <c r="M10" s="737"/>
      <c r="N10" s="897"/>
    </row>
    <row r="11" spans="2:14" x14ac:dyDescent="0.2">
      <c r="B11" s="758"/>
      <c r="D11" s="321" t="s">
        <v>538</v>
      </c>
      <c r="E11" s="642" t="str">
        <f>'1. MADWEC Installation'!E11</f>
        <v>41.6362° N, 70.9342° W</v>
      </c>
      <c r="F11" s="642" t="str">
        <f>'1. MADWEC Installation'!F11</f>
        <v>41.6362° N, 70.9342° W</v>
      </c>
      <c r="G11" s="582" t="str">
        <f>'1. MADWEC Installation'!G11</f>
        <v>59.6371° N, 151.4522° W</v>
      </c>
      <c r="H11" s="60"/>
      <c r="I11" s="321" t="s">
        <v>1</v>
      </c>
      <c r="J11" s="325">
        <f>'1. MADWEC Installation'!J11</f>
        <v>17</v>
      </c>
      <c r="K11" s="325">
        <f>'1. MADWEC Installation'!K11</f>
        <v>17</v>
      </c>
      <c r="L11" s="342">
        <f>'1. MADWEC Installation'!L11</f>
        <v>33</v>
      </c>
      <c r="M11" s="737"/>
      <c r="N11" s="897"/>
    </row>
    <row r="12" spans="2:14" ht="16" customHeight="1" x14ac:dyDescent="0.2">
      <c r="B12" s="758"/>
      <c r="D12" s="320" t="s">
        <v>539</v>
      </c>
      <c r="E12" s="640" t="str">
        <f>'1. MADWEC Installation'!E12</f>
        <v>New Bedford Harbor</v>
      </c>
      <c r="F12" s="640" t="str">
        <f>'1. MADWEC Installation'!F12</f>
        <v>New Bedford Harbor</v>
      </c>
      <c r="G12" s="582" t="str">
        <f>'1. MADWEC Installation'!G12</f>
        <v>City of Homer Port</v>
      </c>
      <c r="H12" s="60"/>
      <c r="I12" s="321" t="s">
        <v>2</v>
      </c>
      <c r="J12" s="325">
        <f>'1. MADWEC Installation'!J12</f>
        <v>5</v>
      </c>
      <c r="K12" s="325">
        <f>'1. MADWEC Installation'!K12</f>
        <v>5</v>
      </c>
      <c r="L12" s="342">
        <f>'1. MADWEC Installation'!L12</f>
        <v>11.5</v>
      </c>
      <c r="M12" s="737"/>
      <c r="N12" s="897"/>
    </row>
    <row r="13" spans="2:14" ht="16" thickBot="1" x14ac:dyDescent="0.25">
      <c r="B13" s="758"/>
      <c r="D13" s="331" t="s">
        <v>541</v>
      </c>
      <c r="E13" s="643">
        <f>'1. MADWEC Installation'!E13</f>
        <v>17</v>
      </c>
      <c r="F13" s="643">
        <f>'1. MADWEC Installation'!F13</f>
        <v>48</v>
      </c>
      <c r="G13" s="583">
        <f>'1. MADWEC Installation'!G13</f>
        <v>46</v>
      </c>
      <c r="H13" s="60"/>
      <c r="I13" s="321" t="s">
        <v>86</v>
      </c>
      <c r="J13" s="325">
        <f>'1. MADWEC Installation'!J13</f>
        <v>4600</v>
      </c>
      <c r="K13" s="325">
        <f>'1. MADWEC Installation'!K13</f>
        <v>4600</v>
      </c>
      <c r="L13" s="342">
        <f>'1. MADWEC Installation'!L13</f>
        <v>2000</v>
      </c>
      <c r="M13" s="737"/>
      <c r="N13" s="897"/>
    </row>
    <row r="14" spans="2:14" ht="33" thickBot="1" x14ac:dyDescent="0.25">
      <c r="B14" s="758"/>
      <c r="D14" s="38"/>
      <c r="G14" s="61"/>
      <c r="H14" s="60"/>
      <c r="I14" s="321" t="s">
        <v>3</v>
      </c>
      <c r="J14" s="326" t="str">
        <f>'1. MADWEC Installation'!J14</f>
        <v>Woods Hole Oceanographic Institution</v>
      </c>
      <c r="K14" s="326" t="str">
        <f>'1. MADWEC Installation'!K14</f>
        <v>Woods Hole Oceanographic Institution</v>
      </c>
      <c r="L14" s="342" t="str">
        <f>'1. MADWEC Installation'!L14</f>
        <v>USFWS</v>
      </c>
      <c r="M14" s="737"/>
      <c r="N14" s="897"/>
    </row>
    <row r="15" spans="2:14" ht="20" thickBot="1" x14ac:dyDescent="0.3">
      <c r="B15" s="758"/>
      <c r="D15" s="848" t="s">
        <v>880</v>
      </c>
      <c r="E15" s="878"/>
      <c r="F15" s="849"/>
      <c r="G15" s="61"/>
      <c r="H15" s="60"/>
      <c r="I15" s="331" t="s">
        <v>83</v>
      </c>
      <c r="J15" s="343" t="str">
        <f>'1. MADWEC Installation'!J15</f>
        <v>WHOI</v>
      </c>
      <c r="K15" s="343" t="str">
        <f>'1. MADWEC Installation'!K15</f>
        <v>WHOI</v>
      </c>
      <c r="L15" s="344" t="str">
        <f>'1. MADWEC Installation'!L15</f>
        <v>USFWS</v>
      </c>
      <c r="M15" s="900"/>
      <c r="N15" s="898"/>
    </row>
    <row r="16" spans="2:14" ht="17" thickBot="1" x14ac:dyDescent="0.25">
      <c r="B16" s="758"/>
      <c r="D16" s="385" t="s">
        <v>39</v>
      </c>
      <c r="E16" s="386" t="s">
        <v>17</v>
      </c>
      <c r="F16" s="387" t="s">
        <v>40</v>
      </c>
      <c r="G16" s="991" t="s">
        <v>990</v>
      </c>
      <c r="H16" s="60"/>
    </row>
    <row r="17" spans="2:30" ht="19" x14ac:dyDescent="0.2">
      <c r="B17" s="758"/>
      <c r="D17" s="373" t="s">
        <v>13</v>
      </c>
      <c r="E17" s="627">
        <v>0.1</v>
      </c>
      <c r="F17" s="374" t="s">
        <v>84</v>
      </c>
      <c r="G17" s="992"/>
      <c r="H17" s="60"/>
      <c r="I17" s="880" t="s">
        <v>117</v>
      </c>
      <c r="J17" s="881"/>
      <c r="K17" s="881"/>
      <c r="L17" s="882"/>
    </row>
    <row r="18" spans="2:30" ht="15" customHeight="1" thickBot="1" x14ac:dyDescent="0.25">
      <c r="B18" s="758"/>
      <c r="D18" s="321" t="s">
        <v>164</v>
      </c>
      <c r="E18" s="628">
        <v>0.5</v>
      </c>
      <c r="F18" s="338" t="s">
        <v>76</v>
      </c>
      <c r="G18" s="992"/>
      <c r="H18" s="60"/>
      <c r="I18" s="291" t="s">
        <v>141</v>
      </c>
      <c r="J18" s="292" t="s">
        <v>142</v>
      </c>
      <c r="K18" s="764" t="s">
        <v>28</v>
      </c>
      <c r="L18" s="879"/>
    </row>
    <row r="19" spans="2:30" x14ac:dyDescent="0.2">
      <c r="B19" s="758"/>
      <c r="D19" s="320" t="s">
        <v>166</v>
      </c>
      <c r="E19" s="612">
        <v>0.5</v>
      </c>
      <c r="F19" s="334" t="s">
        <v>76</v>
      </c>
      <c r="G19" s="992"/>
      <c r="H19" s="60"/>
      <c r="I19" s="389" t="s">
        <v>620</v>
      </c>
      <c r="J19" s="669">
        <f>'1. MADWEC Installation'!J19</f>
        <v>258</v>
      </c>
      <c r="K19" s="982" t="s">
        <v>663</v>
      </c>
      <c r="L19" s="983"/>
    </row>
    <row r="20" spans="2:30" ht="15" customHeight="1" x14ac:dyDescent="0.2">
      <c r="B20" s="758"/>
      <c r="D20" s="321" t="s">
        <v>165</v>
      </c>
      <c r="E20" s="628">
        <v>2</v>
      </c>
      <c r="F20" s="338" t="s">
        <v>76</v>
      </c>
      <c r="G20" s="992"/>
      <c r="H20" s="60"/>
      <c r="I20" s="330" t="s">
        <v>583</v>
      </c>
      <c r="J20" s="523">
        <f>'1. MADWEC Installation'!J20</f>
        <v>258</v>
      </c>
      <c r="K20" s="984" t="s">
        <v>664</v>
      </c>
      <c r="L20" s="985"/>
    </row>
    <row r="21" spans="2:30" ht="16" customHeight="1" x14ac:dyDescent="0.2">
      <c r="B21" s="758"/>
      <c r="D21" s="320" t="s">
        <v>97</v>
      </c>
      <c r="E21" s="628">
        <v>6</v>
      </c>
      <c r="F21" s="338" t="s">
        <v>76</v>
      </c>
      <c r="G21" s="992"/>
      <c r="H21" s="60"/>
      <c r="I21" s="333" t="s">
        <v>517</v>
      </c>
      <c r="J21" s="523">
        <f>'1. MADWEC Installation'!J21</f>
        <v>2267.25</v>
      </c>
      <c r="K21" s="986"/>
      <c r="L21" s="987"/>
      <c r="R21" s="4"/>
      <c r="W21" s="4"/>
    </row>
    <row r="22" spans="2:30" ht="16" customHeight="1" x14ac:dyDescent="0.2">
      <c r="B22" s="758"/>
      <c r="D22" s="320" t="s">
        <v>209</v>
      </c>
      <c r="E22" s="628">
        <v>3</v>
      </c>
      <c r="F22" s="338" t="s">
        <v>76</v>
      </c>
      <c r="G22" s="992"/>
      <c r="H22" s="60"/>
      <c r="I22" s="333" t="s">
        <v>518</v>
      </c>
      <c r="J22" s="523">
        <f>'1. MADWEC Installation'!J22</f>
        <v>1267.25</v>
      </c>
      <c r="K22" s="986"/>
      <c r="L22" s="987"/>
      <c r="R22" s="4"/>
      <c r="S22" s="4"/>
      <c r="T22" s="4"/>
      <c r="U22" s="4"/>
      <c r="AD22" s="4"/>
    </row>
    <row r="23" spans="2:30" ht="15" customHeight="1" thickBot="1" x14ac:dyDescent="0.25">
      <c r="B23" s="758"/>
      <c r="D23" s="320" t="s">
        <v>96</v>
      </c>
      <c r="E23" s="628">
        <v>1</v>
      </c>
      <c r="F23" s="334" t="s">
        <v>76</v>
      </c>
      <c r="G23" s="992"/>
      <c r="I23" s="335" t="s">
        <v>519</v>
      </c>
      <c r="J23" s="524">
        <f>'1. MADWEC Installation'!J23</f>
        <v>1650</v>
      </c>
      <c r="K23" s="988"/>
      <c r="L23" s="989"/>
    </row>
    <row r="24" spans="2:30" ht="15" customHeight="1" thickBot="1" x14ac:dyDescent="0.25">
      <c r="B24" s="758"/>
      <c r="D24" s="339" t="s">
        <v>121</v>
      </c>
      <c r="E24" s="629">
        <v>0</v>
      </c>
      <c r="F24" s="336" t="s">
        <v>76</v>
      </c>
      <c r="G24" s="993"/>
    </row>
    <row r="25" spans="2:30" ht="20" thickBot="1" x14ac:dyDescent="0.25">
      <c r="B25" s="758"/>
      <c r="I25" s="880" t="s">
        <v>678</v>
      </c>
      <c r="J25" s="881"/>
      <c r="K25" s="881"/>
      <c r="L25" s="882"/>
    </row>
    <row r="26" spans="2:30" ht="20" thickBot="1" x14ac:dyDescent="0.3">
      <c r="B26" s="758"/>
      <c r="D26" s="848" t="s">
        <v>24</v>
      </c>
      <c r="E26" s="878"/>
      <c r="F26" s="849"/>
      <c r="I26" s="291" t="s">
        <v>531</v>
      </c>
      <c r="J26" s="292" t="s">
        <v>142</v>
      </c>
      <c r="K26" s="764" t="s">
        <v>28</v>
      </c>
      <c r="L26" s="879"/>
    </row>
    <row r="27" spans="2:30" ht="20" customHeight="1" thickBot="1" x14ac:dyDescent="0.25">
      <c r="B27" s="758"/>
      <c r="D27" s="379" t="s">
        <v>22</v>
      </c>
      <c r="E27" s="380" t="s">
        <v>23</v>
      </c>
      <c r="F27" s="381" t="s">
        <v>81</v>
      </c>
      <c r="I27" s="329" t="s">
        <v>168</v>
      </c>
      <c r="J27" s="623">
        <v>5799</v>
      </c>
      <c r="K27" s="390" t="s">
        <v>754</v>
      </c>
      <c r="L27" s="889" t="s">
        <v>803</v>
      </c>
    </row>
    <row r="28" spans="2:30" ht="33" customHeight="1" x14ac:dyDescent="0.2">
      <c r="B28" s="758"/>
      <c r="D28" s="329" t="s">
        <v>132</v>
      </c>
      <c r="E28" s="614">
        <v>1</v>
      </c>
      <c r="F28" s="557">
        <f>'1. MADWEC Installation'!F33</f>
        <v>45.32</v>
      </c>
      <c r="I28" s="330" t="s">
        <v>669</v>
      </c>
      <c r="J28" s="624">
        <v>6226</v>
      </c>
      <c r="K28" s="324" t="s">
        <v>665</v>
      </c>
      <c r="L28" s="890"/>
    </row>
    <row r="29" spans="2:30" ht="17" customHeight="1" x14ac:dyDescent="0.2">
      <c r="B29" s="758"/>
      <c r="D29" s="321" t="s">
        <v>133</v>
      </c>
      <c r="E29" s="612">
        <v>2</v>
      </c>
      <c r="F29" s="650">
        <f>'1. MADWEC Installation'!F34</f>
        <v>45.32</v>
      </c>
      <c r="I29" s="330" t="s">
        <v>670</v>
      </c>
      <c r="J29" s="624">
        <v>568</v>
      </c>
      <c r="K29" s="324" t="s">
        <v>667</v>
      </c>
      <c r="L29" s="890"/>
    </row>
    <row r="30" spans="2:30" ht="26" customHeight="1" x14ac:dyDescent="0.2">
      <c r="B30" s="758"/>
      <c r="D30" s="320" t="s">
        <v>134</v>
      </c>
      <c r="E30" s="632">
        <v>1</v>
      </c>
      <c r="F30" s="670">
        <f>'1. MADWEC Installation'!F35</f>
        <v>40.950000000000003</v>
      </c>
      <c r="I30" s="330" t="s">
        <v>671</v>
      </c>
      <c r="J30" s="624">
        <v>707.02</v>
      </c>
      <c r="K30" s="324" t="s">
        <v>665</v>
      </c>
      <c r="L30" s="890"/>
    </row>
    <row r="31" spans="2:30" ht="23" customHeight="1" thickBot="1" x14ac:dyDescent="0.25">
      <c r="B31" s="758"/>
      <c r="D31" s="321" t="s">
        <v>135</v>
      </c>
      <c r="E31" s="632">
        <v>1</v>
      </c>
      <c r="F31" s="670">
        <f>'1. MADWEC Installation'!F36</f>
        <v>40.950000000000003</v>
      </c>
      <c r="I31" s="331" t="s">
        <v>672</v>
      </c>
      <c r="J31" s="625">
        <v>17</v>
      </c>
      <c r="K31" s="391" t="s">
        <v>667</v>
      </c>
      <c r="L31" s="891"/>
    </row>
    <row r="32" spans="2:30" ht="16" x14ac:dyDescent="0.2">
      <c r="B32" s="758"/>
      <c r="D32" s="321" t="s">
        <v>136</v>
      </c>
      <c r="E32" s="612">
        <v>1</v>
      </c>
      <c r="F32" s="650">
        <f>'1. MADWEC Installation'!F37</f>
        <v>46.22</v>
      </c>
      <c r="U32" s="4"/>
      <c r="V32" s="4"/>
      <c r="W32" s="4"/>
    </row>
    <row r="33" spans="2:29" ht="19" x14ac:dyDescent="0.25">
      <c r="B33" s="758"/>
      <c r="D33" s="321" t="s">
        <v>137</v>
      </c>
      <c r="E33" s="612">
        <v>2</v>
      </c>
      <c r="F33" s="650">
        <f>'1. MADWEC Installation'!F38</f>
        <v>46.22</v>
      </c>
      <c r="I33" s="990"/>
      <c r="J33" s="990"/>
      <c r="U33" s="4"/>
      <c r="V33" s="4"/>
      <c r="W33" s="4"/>
    </row>
    <row r="34" spans="2:29" ht="16" x14ac:dyDescent="0.2">
      <c r="B34" s="758"/>
      <c r="D34" s="320" t="s">
        <v>138</v>
      </c>
      <c r="E34" s="632">
        <v>1</v>
      </c>
      <c r="F34" s="670">
        <f>'1. MADWEC Installation'!F39</f>
        <v>39.369999999999997</v>
      </c>
      <c r="I34" s="481"/>
      <c r="J34" s="484"/>
      <c r="U34" s="4"/>
      <c r="V34" s="4"/>
      <c r="W34" s="4"/>
    </row>
    <row r="35" spans="2:29" ht="15" customHeight="1" thickBot="1" x14ac:dyDescent="0.25">
      <c r="B35" s="759"/>
      <c r="D35" s="331" t="s">
        <v>139</v>
      </c>
      <c r="E35" s="634">
        <v>1</v>
      </c>
      <c r="F35" s="671">
        <f>'1. MADWEC Installation'!F40</f>
        <v>39.369999999999997</v>
      </c>
      <c r="I35" s="92"/>
      <c r="J35" s="60"/>
      <c r="U35" s="4"/>
      <c r="V35" s="4"/>
      <c r="W35" s="4"/>
    </row>
    <row r="36" spans="2:29" ht="15" customHeight="1" x14ac:dyDescent="0.2">
      <c r="B36" s="14"/>
      <c r="T36" s="4"/>
      <c r="U36" s="4"/>
      <c r="V36" s="4"/>
      <c r="W36" s="4"/>
      <c r="X36" s="4"/>
    </row>
    <row r="37" spans="2:29" ht="15" customHeight="1" thickBot="1" x14ac:dyDescent="0.25">
      <c r="B37" s="14"/>
      <c r="T37" s="4"/>
      <c r="U37" s="4"/>
      <c r="V37" s="4"/>
      <c r="W37" s="4"/>
      <c r="X37" s="4"/>
    </row>
    <row r="38" spans="2:29" ht="20" customHeight="1" thickBot="1" x14ac:dyDescent="0.3">
      <c r="B38" s="757" t="s">
        <v>51</v>
      </c>
      <c r="D38" s="863" t="s">
        <v>47</v>
      </c>
      <c r="E38" s="864"/>
      <c r="F38" s="864"/>
      <c r="G38" s="864"/>
      <c r="H38" s="864"/>
      <c r="I38" s="864"/>
      <c r="J38" s="864"/>
      <c r="K38" s="865"/>
      <c r="M38" s="866" t="s">
        <v>65</v>
      </c>
      <c r="N38" s="867"/>
      <c r="O38" s="867"/>
      <c r="P38" s="867"/>
      <c r="Q38" s="867"/>
      <c r="R38" s="867"/>
      <c r="S38" s="867"/>
      <c r="T38" s="868"/>
      <c r="U38" s="4"/>
      <c r="V38" s="863" t="s">
        <v>52</v>
      </c>
      <c r="W38" s="864"/>
      <c r="X38" s="864"/>
      <c r="Y38" s="864"/>
      <c r="Z38" s="864"/>
      <c r="AA38" s="864"/>
      <c r="AB38" s="864"/>
      <c r="AC38" s="865"/>
    </row>
    <row r="39" spans="2:29" ht="15" customHeight="1" x14ac:dyDescent="0.2">
      <c r="B39" s="758"/>
      <c r="D39" s="857" t="s">
        <v>140</v>
      </c>
      <c r="E39" s="24" t="s">
        <v>4</v>
      </c>
      <c r="F39" s="25" t="s">
        <v>35</v>
      </c>
      <c r="G39" s="26" t="s">
        <v>5</v>
      </c>
      <c r="H39" s="25" t="s">
        <v>77</v>
      </c>
      <c r="I39" s="26" t="s">
        <v>31</v>
      </c>
      <c r="J39" s="26" t="s">
        <v>29</v>
      </c>
      <c r="K39" s="34" t="s">
        <v>32</v>
      </c>
      <c r="M39" s="869" t="s">
        <v>140</v>
      </c>
      <c r="N39" s="78" t="s">
        <v>4</v>
      </c>
      <c r="O39" s="72" t="s">
        <v>35</v>
      </c>
      <c r="P39" s="75" t="s">
        <v>5</v>
      </c>
      <c r="Q39" s="72" t="s">
        <v>77</v>
      </c>
      <c r="R39" s="75" t="s">
        <v>31</v>
      </c>
      <c r="S39" s="75" t="s">
        <v>29</v>
      </c>
      <c r="T39" s="76" t="s">
        <v>32</v>
      </c>
      <c r="U39" s="4"/>
      <c r="V39" s="857" t="s">
        <v>140</v>
      </c>
      <c r="W39" s="24" t="s">
        <v>4</v>
      </c>
      <c r="X39" s="25" t="s">
        <v>35</v>
      </c>
      <c r="Y39" s="26" t="s">
        <v>5</v>
      </c>
      <c r="Z39" s="25" t="s">
        <v>77</v>
      </c>
      <c r="AA39" s="26" t="s">
        <v>31</v>
      </c>
      <c r="AB39" s="26" t="s">
        <v>29</v>
      </c>
      <c r="AC39" s="34" t="s">
        <v>32</v>
      </c>
    </row>
    <row r="40" spans="2:29" ht="16" x14ac:dyDescent="0.2">
      <c r="B40" s="758"/>
      <c r="D40" s="858"/>
      <c r="E40" s="39" t="s">
        <v>95</v>
      </c>
      <c r="F40" s="9" t="s">
        <v>75</v>
      </c>
      <c r="G40" s="9" t="s">
        <v>7</v>
      </c>
      <c r="H40" s="46">
        <f>(E9/$J$5)</f>
        <v>0.77777777777777779</v>
      </c>
      <c r="I40" s="54">
        <f t="shared" ref="I40:I46" si="0">($J$8+$J$6)*H40</f>
        <v>1283.3333333333333</v>
      </c>
      <c r="J40" s="16">
        <f>((F30*E30)+(F31*E31))*H40</f>
        <v>63.7</v>
      </c>
      <c r="K40" s="7">
        <f>I40+J40</f>
        <v>1347.0333333333333</v>
      </c>
      <c r="M40" s="858"/>
      <c r="N40" s="39" t="s">
        <v>119</v>
      </c>
      <c r="O40" s="9" t="s">
        <v>115</v>
      </c>
      <c r="P40" s="9" t="s">
        <v>7</v>
      </c>
      <c r="Q40" s="46">
        <f>F9/K5</f>
        <v>0.77777777777777779</v>
      </c>
      <c r="R40" s="54">
        <f t="shared" ref="R40:R46" si="1">($K$6+$K$8)*Q40</f>
        <v>1283.3333333333333</v>
      </c>
      <c r="S40" s="16">
        <f>(($F$30*$E$30)+($F$31*$E$31))*Q40</f>
        <v>63.7</v>
      </c>
      <c r="T40" s="7">
        <f>R40+S40</f>
        <v>1347.0333333333333</v>
      </c>
      <c r="U40" s="4"/>
      <c r="V40" s="858"/>
      <c r="W40" s="39" t="s">
        <v>120</v>
      </c>
      <c r="X40" s="9" t="s">
        <v>116</v>
      </c>
      <c r="Y40" s="27" t="s">
        <v>7</v>
      </c>
      <c r="Z40" s="46">
        <f>G9/L5</f>
        <v>0</v>
      </c>
      <c r="AA40" s="31">
        <f t="shared" ref="AA40:AA45" si="2">($L$6+$L$8)*Z40</f>
        <v>0</v>
      </c>
      <c r="AB40" s="79">
        <f>($F$34+$F$35)*Z40</f>
        <v>0</v>
      </c>
      <c r="AC40" s="7">
        <f>AA40+AB40</f>
        <v>0</v>
      </c>
    </row>
    <row r="41" spans="2:29" ht="16" x14ac:dyDescent="0.2">
      <c r="B41" s="758"/>
      <c r="D41" s="858"/>
      <c r="E41" s="39" t="s">
        <v>177</v>
      </c>
      <c r="F41" s="9" t="s">
        <v>75</v>
      </c>
      <c r="G41" s="9" t="s">
        <v>12</v>
      </c>
      <c r="H41" s="3">
        <f>E18</f>
        <v>0.5</v>
      </c>
      <c r="I41" s="54">
        <f t="shared" si="0"/>
        <v>825</v>
      </c>
      <c r="J41" s="16">
        <f>(($F$28*$E$28)+($F$29*$E$29)+($F$30*$E$30)+($F$31*$E$31))*H41</f>
        <v>108.93</v>
      </c>
      <c r="K41" s="7">
        <f t="shared" ref="K41:K46" si="3">I41+J41</f>
        <v>933.93000000000006</v>
      </c>
      <c r="M41" s="858"/>
      <c r="N41" s="39" t="s">
        <v>177</v>
      </c>
      <c r="O41" s="9" t="s">
        <v>115</v>
      </c>
      <c r="P41" s="9" t="s">
        <v>12</v>
      </c>
      <c r="Q41" s="3">
        <f>E18</f>
        <v>0.5</v>
      </c>
      <c r="R41" s="54">
        <f t="shared" si="1"/>
        <v>825</v>
      </c>
      <c r="S41" s="16">
        <f>(($F$28*$E$28)+($F$29*$E$29)+($F$30*$E$30)+($F$31*$E$31))*Q41</f>
        <v>108.93</v>
      </c>
      <c r="T41" s="7">
        <f t="shared" ref="T41:T46" si="4">R41+S41</f>
        <v>933.93000000000006</v>
      </c>
      <c r="U41" s="4"/>
      <c r="V41" s="858"/>
      <c r="W41" s="39" t="s">
        <v>177</v>
      </c>
      <c r="X41" s="9" t="s">
        <v>116</v>
      </c>
      <c r="Y41" s="27" t="s">
        <v>12</v>
      </c>
      <c r="Z41" s="3">
        <f>E18</f>
        <v>0.5</v>
      </c>
      <c r="AA41" s="31">
        <f t="shared" si="2"/>
        <v>673.95833333333326</v>
      </c>
      <c r="AB41" s="16">
        <f>(($F$32*$E$32)+($F$33*$E$33)+($F$34*$E$34)+($F$35*$E$35))*Z41</f>
        <v>108.7</v>
      </c>
      <c r="AC41" s="7">
        <f t="shared" ref="AC41:AC46" si="5">AA41+AB41</f>
        <v>782.6583333333333</v>
      </c>
    </row>
    <row r="42" spans="2:29" ht="16" customHeight="1" x14ac:dyDescent="0.2">
      <c r="B42" s="758"/>
      <c r="D42" s="858"/>
      <c r="E42" s="39" t="s">
        <v>42</v>
      </c>
      <c r="F42" s="9" t="s">
        <v>75</v>
      </c>
      <c r="G42" s="11" t="s">
        <v>8</v>
      </c>
      <c r="H42" s="45">
        <f>(E13/J5)</f>
        <v>0.94444444444444442</v>
      </c>
      <c r="I42" s="54">
        <f t="shared" si="0"/>
        <v>1558.3333333333333</v>
      </c>
      <c r="J42" s="16">
        <f>(($F$28*$E$28)+($F$29*$E$29)+($F$30*$E$30)+($F$31*$E$31))*H42</f>
        <v>205.75666666666666</v>
      </c>
      <c r="K42" s="7">
        <f t="shared" si="3"/>
        <v>1764.09</v>
      </c>
      <c r="L42" s="4"/>
      <c r="M42" s="858"/>
      <c r="N42" s="39" t="s">
        <v>55</v>
      </c>
      <c r="O42" s="9" t="s">
        <v>115</v>
      </c>
      <c r="P42" s="11" t="s">
        <v>8</v>
      </c>
      <c r="Q42" s="45">
        <f>F13/K5</f>
        <v>2.6666666666666665</v>
      </c>
      <c r="R42" s="54">
        <f t="shared" si="1"/>
        <v>4400</v>
      </c>
      <c r="S42" s="16">
        <f>(($F$28*$E$28)+($F$29*$E$29)+($F$30*$E$30)+($F$31*$E$31))*Q42</f>
        <v>580.96</v>
      </c>
      <c r="T42" s="7">
        <f t="shared" si="4"/>
        <v>4980.96</v>
      </c>
      <c r="U42" s="4"/>
      <c r="V42" s="858"/>
      <c r="W42" s="39" t="s">
        <v>58</v>
      </c>
      <c r="X42" s="9" t="s">
        <v>116</v>
      </c>
      <c r="Y42" s="28" t="s">
        <v>8</v>
      </c>
      <c r="Z42" s="45">
        <f>G13/L5</f>
        <v>4.5999999999999996</v>
      </c>
      <c r="AA42" s="31">
        <f t="shared" si="2"/>
        <v>6200.4166666666652</v>
      </c>
      <c r="AB42" s="16">
        <f>(($F$32*$E$32)+($F$33*$E$33)+($F$34*$E$34)+($F$35*$E$35))*Z42</f>
        <v>1000.04</v>
      </c>
      <c r="AC42" s="7">
        <f t="shared" si="5"/>
        <v>7200.4566666666651</v>
      </c>
    </row>
    <row r="43" spans="2:29" ht="16" customHeight="1" x14ac:dyDescent="0.2">
      <c r="B43" s="758"/>
      <c r="D43" s="858"/>
      <c r="E43" s="39" t="s">
        <v>108</v>
      </c>
      <c r="F43" s="9" t="s">
        <v>75</v>
      </c>
      <c r="G43" s="11" t="s">
        <v>12</v>
      </c>
      <c r="H43" s="45">
        <v>3</v>
      </c>
      <c r="I43" s="54">
        <f t="shared" si="0"/>
        <v>4950</v>
      </c>
      <c r="J43" s="16">
        <f>(($F$28*$E$28)+($F$29*$E$29)+($F$30*$E$30)+($F$31*$E$31))*H43</f>
        <v>653.58000000000004</v>
      </c>
      <c r="K43" s="7">
        <f t="shared" si="3"/>
        <v>5603.58</v>
      </c>
      <c r="L43" s="4"/>
      <c r="M43" s="858"/>
      <c r="N43" s="39" t="s">
        <v>108</v>
      </c>
      <c r="O43" s="9" t="s">
        <v>115</v>
      </c>
      <c r="P43" s="11" t="s">
        <v>12</v>
      </c>
      <c r="Q43" s="45">
        <v>3</v>
      </c>
      <c r="R43" s="54">
        <f t="shared" si="1"/>
        <v>4950</v>
      </c>
      <c r="S43" s="16">
        <f>(($F$28*$E$28)+($F$29*$E$29)+($F$30*$E$30)+($F$31*$E$31))*Q43</f>
        <v>653.58000000000004</v>
      </c>
      <c r="T43" s="7">
        <f t="shared" si="4"/>
        <v>5603.58</v>
      </c>
      <c r="U43" s="4"/>
      <c r="V43" s="858"/>
      <c r="W43" s="39" t="s">
        <v>108</v>
      </c>
      <c r="X43" s="9" t="s">
        <v>116</v>
      </c>
      <c r="Y43" s="28" t="s">
        <v>12</v>
      </c>
      <c r="Z43" s="45">
        <v>3</v>
      </c>
      <c r="AA43" s="31">
        <f t="shared" si="2"/>
        <v>4043.7499999999995</v>
      </c>
      <c r="AB43" s="16">
        <f>(($F$32*$E$32)+($F$33*$E$33)+($F$34*$E$34)+($F$35*$E$35))*Z43</f>
        <v>652.20000000000005</v>
      </c>
      <c r="AC43" s="7">
        <f t="shared" si="5"/>
        <v>4695.95</v>
      </c>
    </row>
    <row r="44" spans="2:29" x14ac:dyDescent="0.2">
      <c r="B44" s="758"/>
      <c r="D44" s="858"/>
      <c r="E44" s="39" t="s">
        <v>11</v>
      </c>
      <c r="F44" s="9" t="s">
        <v>75</v>
      </c>
      <c r="G44" s="11" t="s">
        <v>12</v>
      </c>
      <c r="H44" s="45">
        <f>E23</f>
        <v>1</v>
      </c>
      <c r="I44" s="54">
        <f t="shared" si="0"/>
        <v>1650</v>
      </c>
      <c r="J44" s="16">
        <f>(($F$28*$E$28)+($F$29*$E$29)+($F$30*$E$30)+($F$31*$E$31))*H44</f>
        <v>217.86</v>
      </c>
      <c r="K44" s="7">
        <f t="shared" si="3"/>
        <v>1867.8600000000001</v>
      </c>
      <c r="L44" s="18"/>
      <c r="M44" s="858"/>
      <c r="N44" s="39" t="s">
        <v>11</v>
      </c>
      <c r="O44" s="9" t="s">
        <v>115</v>
      </c>
      <c r="P44" s="11" t="s">
        <v>12</v>
      </c>
      <c r="Q44" s="45">
        <f>E23</f>
        <v>1</v>
      </c>
      <c r="R44" s="54">
        <f t="shared" si="1"/>
        <v>1650</v>
      </c>
      <c r="S44" s="16">
        <f>(($F$28*$E$28)+($F$29*$E$29)+($F$30*$E$30)+($F$31*$E$31))*Q44</f>
        <v>217.86</v>
      </c>
      <c r="T44" s="7">
        <f t="shared" si="4"/>
        <v>1867.8600000000001</v>
      </c>
      <c r="U44" s="787"/>
      <c r="V44" s="858"/>
      <c r="W44" s="39" t="s">
        <v>11</v>
      </c>
      <c r="X44" s="9" t="s">
        <v>116</v>
      </c>
      <c r="Y44" s="28" t="s">
        <v>12</v>
      </c>
      <c r="Z44" s="45">
        <f>E23</f>
        <v>1</v>
      </c>
      <c r="AA44" s="31">
        <f t="shared" si="2"/>
        <v>1347.9166666666665</v>
      </c>
      <c r="AB44" s="16">
        <f>(($F$32*$E$32)+($F$33*$E$33)+($F$34*$E$34)+($F$35*$E$35))*Z44</f>
        <v>217.4</v>
      </c>
      <c r="AC44" s="7">
        <f t="shared" si="5"/>
        <v>1565.3166666666666</v>
      </c>
    </row>
    <row r="45" spans="2:29" x14ac:dyDescent="0.2">
      <c r="B45" s="758"/>
      <c r="D45" s="858"/>
      <c r="E45" s="39" t="s">
        <v>45</v>
      </c>
      <c r="F45" s="9" t="s">
        <v>75</v>
      </c>
      <c r="G45" s="11" t="s">
        <v>8</v>
      </c>
      <c r="H45" s="45">
        <f>H42</f>
        <v>0.94444444444444442</v>
      </c>
      <c r="I45" s="54">
        <f t="shared" si="0"/>
        <v>1558.3333333333333</v>
      </c>
      <c r="J45" s="16">
        <f>(($F$28*$E$28)+($F$29*$E$29)+($F$30*$E$30)+($F$31*$E$31))*H45</f>
        <v>205.75666666666666</v>
      </c>
      <c r="K45" s="7">
        <f t="shared" si="3"/>
        <v>1764.09</v>
      </c>
      <c r="L45" s="18"/>
      <c r="M45" s="858"/>
      <c r="N45" s="39" t="s">
        <v>56</v>
      </c>
      <c r="O45" s="9" t="s">
        <v>115</v>
      </c>
      <c r="P45" s="11" t="s">
        <v>8</v>
      </c>
      <c r="Q45" s="45">
        <f>Q42</f>
        <v>2.6666666666666665</v>
      </c>
      <c r="R45" s="54">
        <f t="shared" si="1"/>
        <v>4400</v>
      </c>
      <c r="S45" s="16">
        <f>(($F$28*$E$28)+($F$29*$E$29)+($F$30*$E$30)+($F$31*$E$31))*Q45</f>
        <v>580.96</v>
      </c>
      <c r="T45" s="7">
        <f t="shared" si="4"/>
        <v>4980.96</v>
      </c>
      <c r="U45" s="787"/>
      <c r="V45" s="858"/>
      <c r="W45" s="39" t="s">
        <v>59</v>
      </c>
      <c r="X45" s="9" t="s">
        <v>116</v>
      </c>
      <c r="Y45" s="28" t="s">
        <v>8</v>
      </c>
      <c r="Z45" s="45">
        <f>Z42</f>
        <v>4.5999999999999996</v>
      </c>
      <c r="AA45" s="31">
        <f t="shared" si="2"/>
        <v>6200.4166666666652</v>
      </c>
      <c r="AB45" s="16">
        <f>(($F$32*$E$32)+($F$33*$E$33)+($F$34*$E$34)+($F$35*$E$35))*Z45</f>
        <v>1000.04</v>
      </c>
      <c r="AC45" s="7">
        <f t="shared" si="5"/>
        <v>7200.4566666666651</v>
      </c>
    </row>
    <row r="46" spans="2:29" x14ac:dyDescent="0.2">
      <c r="B46" s="758"/>
      <c r="D46" s="858"/>
      <c r="E46" s="39" t="s">
        <v>44</v>
      </c>
      <c r="F46" s="9" t="s">
        <v>75</v>
      </c>
      <c r="G46" s="11" t="s">
        <v>7</v>
      </c>
      <c r="H46" s="45">
        <f>H40</f>
        <v>0.77777777777777779</v>
      </c>
      <c r="I46" s="54">
        <f t="shared" si="0"/>
        <v>1283.3333333333333</v>
      </c>
      <c r="J46" s="16">
        <f>((F30*E30)+(F31*E31))*H46</f>
        <v>63.7</v>
      </c>
      <c r="K46" s="7">
        <f t="shared" si="3"/>
        <v>1347.0333333333333</v>
      </c>
      <c r="L46" s="18"/>
      <c r="M46" s="858"/>
      <c r="N46" s="39" t="s">
        <v>57</v>
      </c>
      <c r="O46" s="9" t="s">
        <v>115</v>
      </c>
      <c r="P46" s="11" t="s">
        <v>7</v>
      </c>
      <c r="Q46" s="45">
        <f>Q40</f>
        <v>0.77777777777777779</v>
      </c>
      <c r="R46" s="54">
        <f t="shared" si="1"/>
        <v>1283.3333333333333</v>
      </c>
      <c r="S46" s="16">
        <f>(($F$30*$E$30)+($F$31*$E$31))*Q46</f>
        <v>63.7</v>
      </c>
      <c r="T46" s="7">
        <f t="shared" si="4"/>
        <v>1347.0333333333333</v>
      </c>
      <c r="U46" s="787"/>
      <c r="V46" s="858"/>
      <c r="W46" s="39" t="s">
        <v>61</v>
      </c>
      <c r="X46" s="9" t="s">
        <v>116</v>
      </c>
      <c r="Y46" s="28" t="s">
        <v>7</v>
      </c>
      <c r="Z46" s="45">
        <f>Z40</f>
        <v>0</v>
      </c>
      <c r="AA46" s="31">
        <f>AA40</f>
        <v>0</v>
      </c>
      <c r="AB46" s="16">
        <f>AB40</f>
        <v>0</v>
      </c>
      <c r="AC46" s="7">
        <f t="shared" si="5"/>
        <v>0</v>
      </c>
    </row>
    <row r="47" spans="2:29" ht="15" customHeight="1" x14ac:dyDescent="0.2">
      <c r="B47" s="758"/>
      <c r="D47" s="858"/>
      <c r="E47" s="39" t="s">
        <v>13</v>
      </c>
      <c r="F47" s="9" t="s">
        <v>75</v>
      </c>
      <c r="G47" s="11" t="s">
        <v>12</v>
      </c>
      <c r="H47" s="6" t="s">
        <v>9</v>
      </c>
      <c r="I47" s="9" t="s">
        <v>9</v>
      </c>
      <c r="J47" s="11" t="s">
        <v>9</v>
      </c>
      <c r="K47" s="7">
        <f>SUM(K40:K46)*$E$17</f>
        <v>1462.7616666666668</v>
      </c>
      <c r="L47" s="18"/>
      <c r="M47" s="858"/>
      <c r="N47" s="39" t="s">
        <v>13</v>
      </c>
      <c r="O47" s="9" t="s">
        <v>115</v>
      </c>
      <c r="P47" s="11" t="s">
        <v>12</v>
      </c>
      <c r="Q47" s="6" t="s">
        <v>9</v>
      </c>
      <c r="R47" s="9" t="s">
        <v>9</v>
      </c>
      <c r="S47" s="11" t="s">
        <v>9</v>
      </c>
      <c r="T47" s="7">
        <f>SUM(T40:T46)*$E$17</f>
        <v>2106.1356666666666</v>
      </c>
      <c r="U47" s="787"/>
      <c r="V47" s="858"/>
      <c r="W47" s="39" t="s">
        <v>13</v>
      </c>
      <c r="X47" s="9" t="s">
        <v>116</v>
      </c>
      <c r="Y47" s="28" t="s">
        <v>12</v>
      </c>
      <c r="Z47" s="6" t="s">
        <v>9</v>
      </c>
      <c r="AA47" s="9" t="s">
        <v>9</v>
      </c>
      <c r="AB47" s="11" t="s">
        <v>9</v>
      </c>
      <c r="AC47" s="7">
        <f>SUM(AC40:AC46)*$E$17</f>
        <v>2144.4838333333332</v>
      </c>
    </row>
    <row r="48" spans="2:29" ht="15" customHeight="1" thickBot="1" x14ac:dyDescent="0.25">
      <c r="B48" s="758"/>
      <c r="D48" s="859"/>
      <c r="E48" s="71"/>
      <c r="F48" s="71"/>
      <c r="G48" s="29"/>
      <c r="H48" s="29"/>
      <c r="I48" s="29"/>
      <c r="J48" s="43" t="s">
        <v>167</v>
      </c>
      <c r="K48" s="37">
        <f>SUM(K40:K47)</f>
        <v>16090.378333333334</v>
      </c>
      <c r="L48" s="18"/>
      <c r="M48" s="859"/>
      <c r="N48" s="71"/>
      <c r="O48" s="71"/>
      <c r="P48" s="29"/>
      <c r="Q48" s="29"/>
      <c r="R48" s="29"/>
      <c r="S48" s="43" t="s">
        <v>167</v>
      </c>
      <c r="T48" s="37">
        <f>SUM(T40:T47)</f>
        <v>23167.492333333332</v>
      </c>
      <c r="U48" s="787"/>
      <c r="V48" s="859"/>
      <c r="W48" s="71"/>
      <c r="X48" s="71"/>
      <c r="Y48" s="29"/>
      <c r="Z48" s="29"/>
      <c r="AA48" s="29"/>
      <c r="AB48" s="43" t="s">
        <v>167</v>
      </c>
      <c r="AC48" s="37">
        <f>SUM(AC40:AC47)</f>
        <v>23589.322166666661</v>
      </c>
    </row>
    <row r="49" spans="2:29" ht="15" customHeight="1" thickBot="1" x14ac:dyDescent="0.25">
      <c r="B49" s="758"/>
      <c r="U49" s="787"/>
    </row>
    <row r="50" spans="2:29" ht="15" customHeight="1" x14ac:dyDescent="0.2">
      <c r="B50" s="758"/>
      <c r="D50" s="770" t="s">
        <v>36</v>
      </c>
      <c r="E50" s="72" t="s">
        <v>4</v>
      </c>
      <c r="F50" s="72" t="s">
        <v>35</v>
      </c>
      <c r="G50" s="72" t="s">
        <v>5</v>
      </c>
      <c r="H50" s="72" t="s">
        <v>77</v>
      </c>
      <c r="I50" s="72" t="s">
        <v>31</v>
      </c>
      <c r="J50" s="72" t="s">
        <v>29</v>
      </c>
      <c r="K50" s="73" t="s">
        <v>32</v>
      </c>
      <c r="L50" s="13"/>
      <c r="M50" s="869" t="s">
        <v>36</v>
      </c>
      <c r="N50" s="72" t="s">
        <v>4</v>
      </c>
      <c r="O50" s="72" t="s">
        <v>35</v>
      </c>
      <c r="P50" s="72" t="s">
        <v>5</v>
      </c>
      <c r="Q50" s="72" t="s">
        <v>77</v>
      </c>
      <c r="R50" s="72" t="s">
        <v>31</v>
      </c>
      <c r="S50" s="72" t="s">
        <v>29</v>
      </c>
      <c r="T50" s="73" t="s">
        <v>32</v>
      </c>
      <c r="U50" s="38"/>
      <c r="V50" s="869" t="s">
        <v>36</v>
      </c>
      <c r="W50" s="72" t="s">
        <v>4</v>
      </c>
      <c r="X50" s="72" t="s">
        <v>35</v>
      </c>
      <c r="Y50" s="72" t="s">
        <v>5</v>
      </c>
      <c r="Z50" s="72" t="s">
        <v>77</v>
      </c>
      <c r="AA50" s="72" t="s">
        <v>31</v>
      </c>
      <c r="AB50" s="72" t="s">
        <v>29</v>
      </c>
      <c r="AC50" s="73" t="s">
        <v>32</v>
      </c>
    </row>
    <row r="51" spans="2:29" x14ac:dyDescent="0.2">
      <c r="B51" s="758"/>
      <c r="D51" s="773"/>
      <c r="E51" s="27" t="s">
        <v>43</v>
      </c>
      <c r="F51" s="9" t="s">
        <v>75</v>
      </c>
      <c r="G51" s="9" t="s">
        <v>7</v>
      </c>
      <c r="H51" s="45">
        <f>(E9/J5)</f>
        <v>0.77777777777777779</v>
      </c>
      <c r="I51" s="31">
        <f t="shared" ref="I51:I57" si="6">($J$6+$J$8)*H51</f>
        <v>1283.3333333333333</v>
      </c>
      <c r="J51" s="31">
        <f>($F$30+$F$31)*H51</f>
        <v>63.7</v>
      </c>
      <c r="K51" s="36">
        <f>I51+J51</f>
        <v>1347.0333333333333</v>
      </c>
      <c r="L51" s="19"/>
      <c r="M51" s="858"/>
      <c r="N51" s="27" t="s">
        <v>54</v>
      </c>
      <c r="O51" s="9" t="s">
        <v>115</v>
      </c>
      <c r="P51" s="9" t="s">
        <v>7</v>
      </c>
      <c r="Q51" s="45">
        <f>F9/K5</f>
        <v>0.77777777777777779</v>
      </c>
      <c r="R51" s="31">
        <f t="shared" ref="R51:R57" si="7">($K$6+$K$8)*Q51</f>
        <v>1283.3333333333333</v>
      </c>
      <c r="S51" s="31">
        <f>(($F$30*$E$30)+($F$31*$E$31))*Q51</f>
        <v>63.7</v>
      </c>
      <c r="T51" s="36">
        <f>R51+S51</f>
        <v>1347.0333333333333</v>
      </c>
      <c r="U51" s="38"/>
      <c r="V51" s="858"/>
      <c r="W51" s="27" t="s">
        <v>60</v>
      </c>
      <c r="X51" s="9" t="s">
        <v>116</v>
      </c>
      <c r="Y51" s="9" t="s">
        <v>7</v>
      </c>
      <c r="Z51" s="45">
        <f>G9/L5</f>
        <v>0</v>
      </c>
      <c r="AA51" s="9">
        <f t="shared" ref="AA51:AA56" si="8">($L$6+$L$8)*Z51</f>
        <v>0</v>
      </c>
      <c r="AB51" s="64">
        <f>($F$34+$F$35)*Z51</f>
        <v>0</v>
      </c>
      <c r="AC51" s="36">
        <f>AA51+AB51</f>
        <v>0</v>
      </c>
    </row>
    <row r="52" spans="2:29" ht="15" customHeight="1" x14ac:dyDescent="0.2">
      <c r="B52" s="758"/>
      <c r="D52" s="773"/>
      <c r="E52" s="56" t="s">
        <v>106</v>
      </c>
      <c r="F52" s="9" t="s">
        <v>75</v>
      </c>
      <c r="G52" s="9" t="s">
        <v>12</v>
      </c>
      <c r="H52" s="47">
        <f>E18</f>
        <v>0.5</v>
      </c>
      <c r="I52" s="31">
        <f t="shared" si="6"/>
        <v>825</v>
      </c>
      <c r="J52" s="31">
        <f>(($F$28*$E$28)+($F$29*$E$29)+($F$30*$E$30)+($F$31*$E$31))*H52</f>
        <v>108.93</v>
      </c>
      <c r="K52" s="36">
        <f t="shared" ref="K52:K57" si="9">I52+J52</f>
        <v>933.93000000000006</v>
      </c>
      <c r="L52" s="19"/>
      <c r="M52" s="858"/>
      <c r="N52" s="56" t="s">
        <v>106</v>
      </c>
      <c r="O52" s="9" t="s">
        <v>115</v>
      </c>
      <c r="P52" s="9" t="s">
        <v>12</v>
      </c>
      <c r="Q52" s="47">
        <f>E18</f>
        <v>0.5</v>
      </c>
      <c r="R52" s="31">
        <f t="shared" si="7"/>
        <v>825</v>
      </c>
      <c r="S52" s="31">
        <f>(($F$28*$E$28)+($F$29*$E$29)+($F$30*$E$30)+($F$31*$E$31))*Q52</f>
        <v>108.93</v>
      </c>
      <c r="T52" s="36">
        <f t="shared" ref="T52:T57" si="10">R52+S52</f>
        <v>933.93000000000006</v>
      </c>
      <c r="U52" s="38"/>
      <c r="V52" s="858"/>
      <c r="W52" s="56" t="s">
        <v>106</v>
      </c>
      <c r="X52" s="9" t="s">
        <v>116</v>
      </c>
      <c r="Y52" s="9" t="s">
        <v>12</v>
      </c>
      <c r="Z52" s="47">
        <f>E18</f>
        <v>0.5</v>
      </c>
      <c r="AA52" s="9">
        <f t="shared" si="8"/>
        <v>673.95833333333326</v>
      </c>
      <c r="AB52" s="31">
        <f>(($F$32*$E$32)+($F$33*$E$33)+($F$34*$E$34)+($F$35*$E$35))*Z52</f>
        <v>108.7</v>
      </c>
      <c r="AC52" s="36">
        <f t="shared" ref="AC52:AC57" si="11">AA52+AB52</f>
        <v>782.6583333333333</v>
      </c>
    </row>
    <row r="53" spans="2:29" x14ac:dyDescent="0.2">
      <c r="B53" s="758"/>
      <c r="D53" s="773"/>
      <c r="E53" s="27" t="s">
        <v>42</v>
      </c>
      <c r="F53" s="9" t="s">
        <v>75</v>
      </c>
      <c r="G53" s="9" t="s">
        <v>8</v>
      </c>
      <c r="H53" s="45">
        <f>(E13/J5)</f>
        <v>0.94444444444444442</v>
      </c>
      <c r="I53" s="31">
        <f t="shared" si="6"/>
        <v>1558.3333333333333</v>
      </c>
      <c r="J53" s="31">
        <f>(($F$28*$E$28)+($F$29*$E$29)+($F$30*$E$30)+($F$31*$E$31))*H53</f>
        <v>205.75666666666666</v>
      </c>
      <c r="K53" s="36">
        <f t="shared" si="9"/>
        <v>1764.09</v>
      </c>
      <c r="L53" s="19"/>
      <c r="M53" s="858"/>
      <c r="N53" s="27" t="s">
        <v>55</v>
      </c>
      <c r="O53" s="9" t="s">
        <v>115</v>
      </c>
      <c r="P53" s="9" t="s">
        <v>8</v>
      </c>
      <c r="Q53" s="45">
        <f>F13/K5</f>
        <v>2.6666666666666665</v>
      </c>
      <c r="R53" s="31">
        <f t="shared" si="7"/>
        <v>4400</v>
      </c>
      <c r="S53" s="31">
        <f>(($F$28*$E$28)+($F$29*$E$29)+($F$30*$E$30)+($F$31*$E$31))*Q53</f>
        <v>580.96</v>
      </c>
      <c r="T53" s="36">
        <f t="shared" si="10"/>
        <v>4980.96</v>
      </c>
      <c r="U53" s="38"/>
      <c r="V53" s="858"/>
      <c r="W53" s="27" t="s">
        <v>58</v>
      </c>
      <c r="X53" s="9" t="s">
        <v>116</v>
      </c>
      <c r="Y53" s="9" t="s">
        <v>8</v>
      </c>
      <c r="Z53" s="45">
        <f>G13/L5</f>
        <v>4.5999999999999996</v>
      </c>
      <c r="AA53" s="9">
        <f t="shared" si="8"/>
        <v>6200.4166666666652</v>
      </c>
      <c r="AB53" s="31">
        <f>(($F$32*$E$32)+($F$33*$E$33)+($F$34*$E$34)+($F$35*$E$35))*Z53</f>
        <v>1000.04</v>
      </c>
      <c r="AC53" s="36">
        <f t="shared" si="11"/>
        <v>7200.4566666666651</v>
      </c>
    </row>
    <row r="54" spans="2:29" x14ac:dyDescent="0.2">
      <c r="B54" s="758"/>
      <c r="D54" s="773"/>
      <c r="E54" s="27" t="s">
        <v>49</v>
      </c>
      <c r="F54" s="9" t="s">
        <v>75</v>
      </c>
      <c r="G54" s="9" t="s">
        <v>10</v>
      </c>
      <c r="H54" s="45">
        <f>E21</f>
        <v>6</v>
      </c>
      <c r="I54" s="31">
        <f t="shared" si="6"/>
        <v>9900</v>
      </c>
      <c r="J54" s="31">
        <f>(($F$28*$E$28)+($F$29*$E$29)+($F$30*$E$30)+($F$31*$E$31))*H54</f>
        <v>1307.1600000000001</v>
      </c>
      <c r="K54" s="36">
        <f t="shared" si="9"/>
        <v>11207.16</v>
      </c>
      <c r="L54" s="19"/>
      <c r="M54" s="858"/>
      <c r="N54" s="27" t="s">
        <v>49</v>
      </c>
      <c r="O54" s="9" t="s">
        <v>115</v>
      </c>
      <c r="P54" s="9" t="s">
        <v>10</v>
      </c>
      <c r="Q54" s="45">
        <f>E21</f>
        <v>6</v>
      </c>
      <c r="R54" s="31">
        <f t="shared" si="7"/>
        <v>9900</v>
      </c>
      <c r="S54" s="31">
        <f>(($F$28*$E$28)+($F$29*$E$29)+($F$30*$E$30)+($F$31*$E$31))*Q54</f>
        <v>1307.1600000000001</v>
      </c>
      <c r="T54" s="36">
        <f t="shared" si="10"/>
        <v>11207.16</v>
      </c>
      <c r="U54" s="38"/>
      <c r="V54" s="858"/>
      <c r="W54" s="27" t="s">
        <v>49</v>
      </c>
      <c r="X54" s="9" t="s">
        <v>116</v>
      </c>
      <c r="Y54" s="9" t="s">
        <v>10</v>
      </c>
      <c r="Z54" s="45">
        <f>E21</f>
        <v>6</v>
      </c>
      <c r="AA54" s="9">
        <f t="shared" si="8"/>
        <v>8087.4999999999991</v>
      </c>
      <c r="AB54" s="31">
        <f>(($F$32*$E$32)+($F$33*$E$33)+($F$34*$E$34)+($F$35*$E$35))*Z54</f>
        <v>1304.4000000000001</v>
      </c>
      <c r="AC54" s="36">
        <f t="shared" si="11"/>
        <v>9391.9</v>
      </c>
    </row>
    <row r="55" spans="2:29" x14ac:dyDescent="0.2">
      <c r="B55" s="758"/>
      <c r="D55" s="773"/>
      <c r="E55" s="27" t="s">
        <v>11</v>
      </c>
      <c r="F55" s="9" t="s">
        <v>75</v>
      </c>
      <c r="G55" s="9" t="s">
        <v>12</v>
      </c>
      <c r="H55" s="45">
        <f>E23</f>
        <v>1</v>
      </c>
      <c r="I55" s="31">
        <f t="shared" si="6"/>
        <v>1650</v>
      </c>
      <c r="J55" s="31">
        <f>(($F$28*$E$28)+($F$29*$E$29)+($F$30*$E$30)+($F$31*$E$31))*H55</f>
        <v>217.86</v>
      </c>
      <c r="K55" s="36">
        <f t="shared" si="9"/>
        <v>1867.8600000000001</v>
      </c>
      <c r="L55" s="19"/>
      <c r="M55" s="858"/>
      <c r="N55" s="27" t="s">
        <v>11</v>
      </c>
      <c r="O55" s="9" t="s">
        <v>115</v>
      </c>
      <c r="P55" s="9" t="s">
        <v>12</v>
      </c>
      <c r="Q55" s="45">
        <f>E23</f>
        <v>1</v>
      </c>
      <c r="R55" s="31">
        <f t="shared" si="7"/>
        <v>1650</v>
      </c>
      <c r="S55" s="31">
        <f>(($F$28*$E$28)+($F$29*$E$29)+($F$30*$E$30)+($F$31*$E$31))*Q55</f>
        <v>217.86</v>
      </c>
      <c r="T55" s="36">
        <f t="shared" si="10"/>
        <v>1867.8600000000001</v>
      </c>
      <c r="U55" s="38"/>
      <c r="V55" s="858"/>
      <c r="W55" s="27" t="s">
        <v>11</v>
      </c>
      <c r="X55" s="9" t="s">
        <v>116</v>
      </c>
      <c r="Y55" s="9" t="s">
        <v>12</v>
      </c>
      <c r="Z55" s="45">
        <f>E23</f>
        <v>1</v>
      </c>
      <c r="AA55" s="9">
        <f t="shared" si="8"/>
        <v>1347.9166666666665</v>
      </c>
      <c r="AB55" s="31">
        <f>(($F$32*$E$32)+($F$33*$E$33)+($F$34*$E$34)+($F$35*$E$35))*Z55</f>
        <v>217.4</v>
      </c>
      <c r="AC55" s="36">
        <f t="shared" si="11"/>
        <v>1565.3166666666666</v>
      </c>
    </row>
    <row r="56" spans="2:29" ht="15" customHeight="1" x14ac:dyDescent="0.2">
      <c r="B56" s="758"/>
      <c r="D56" s="773"/>
      <c r="E56" s="27" t="s">
        <v>45</v>
      </c>
      <c r="F56" s="9" t="s">
        <v>75</v>
      </c>
      <c r="G56" s="9" t="s">
        <v>8</v>
      </c>
      <c r="H56" s="45">
        <f>H53</f>
        <v>0.94444444444444442</v>
      </c>
      <c r="I56" s="31">
        <f t="shared" si="6"/>
        <v>1558.3333333333333</v>
      </c>
      <c r="J56" s="31">
        <f>(($F$28*$E$28)+($F$29*$E$29)+($F$30*$E$30)+($F$31*$E$31))*H56</f>
        <v>205.75666666666666</v>
      </c>
      <c r="K56" s="36">
        <f t="shared" si="9"/>
        <v>1764.09</v>
      </c>
      <c r="L56" s="19"/>
      <c r="M56" s="858"/>
      <c r="N56" s="27" t="s">
        <v>56</v>
      </c>
      <c r="O56" s="9" t="s">
        <v>115</v>
      </c>
      <c r="P56" s="9" t="s">
        <v>8</v>
      </c>
      <c r="Q56" s="45">
        <f>Q53</f>
        <v>2.6666666666666665</v>
      </c>
      <c r="R56" s="31">
        <f t="shared" si="7"/>
        <v>4400</v>
      </c>
      <c r="S56" s="31">
        <f>(($F$28*$E$28)+($F$29*$E$29)+($F$30*$E$30)+($F$31*$E$31))*Q56</f>
        <v>580.96</v>
      </c>
      <c r="T56" s="36">
        <f t="shared" si="10"/>
        <v>4980.96</v>
      </c>
      <c r="U56" s="38"/>
      <c r="V56" s="858"/>
      <c r="W56" s="27" t="s">
        <v>59</v>
      </c>
      <c r="X56" s="9" t="s">
        <v>116</v>
      </c>
      <c r="Y56" s="9" t="s">
        <v>8</v>
      </c>
      <c r="Z56" s="45">
        <f>Z53</f>
        <v>4.5999999999999996</v>
      </c>
      <c r="AA56" s="9">
        <f t="shared" si="8"/>
        <v>6200.4166666666652</v>
      </c>
      <c r="AB56" s="31">
        <f>(($F$32*$E$32)+($F$33*$E$33)+($F$34*$E$34)+($F$35*$E$35))*Z56</f>
        <v>1000.04</v>
      </c>
      <c r="AC56" s="36">
        <f t="shared" si="11"/>
        <v>7200.4566666666651</v>
      </c>
    </row>
    <row r="57" spans="2:29" ht="15" customHeight="1" x14ac:dyDescent="0.2">
      <c r="B57" s="758"/>
      <c r="D57" s="773"/>
      <c r="E57" s="27" t="s">
        <v>44</v>
      </c>
      <c r="F57" s="9" t="s">
        <v>75</v>
      </c>
      <c r="G57" s="9" t="s">
        <v>7</v>
      </c>
      <c r="H57" s="45">
        <f>H51</f>
        <v>0.77777777777777779</v>
      </c>
      <c r="I57" s="31">
        <f t="shared" si="6"/>
        <v>1283.3333333333333</v>
      </c>
      <c r="J57" s="31">
        <f>($F$30+$F$31)*H57</f>
        <v>63.7</v>
      </c>
      <c r="K57" s="36">
        <f t="shared" si="9"/>
        <v>1347.0333333333333</v>
      </c>
      <c r="L57" s="18"/>
      <c r="M57" s="858"/>
      <c r="N57" s="27" t="s">
        <v>57</v>
      </c>
      <c r="O57" s="9" t="s">
        <v>115</v>
      </c>
      <c r="P57" s="9" t="s">
        <v>7</v>
      </c>
      <c r="Q57" s="45">
        <f>Q51</f>
        <v>0.77777777777777779</v>
      </c>
      <c r="R57" s="31">
        <f t="shared" si="7"/>
        <v>1283.3333333333333</v>
      </c>
      <c r="S57" s="31">
        <f>(($F$30*$E$30)+($F$31*$E$31))*Q57</f>
        <v>63.7</v>
      </c>
      <c r="T57" s="36">
        <f t="shared" si="10"/>
        <v>1347.0333333333333</v>
      </c>
      <c r="U57" s="38"/>
      <c r="V57" s="858"/>
      <c r="W57" s="27" t="s">
        <v>61</v>
      </c>
      <c r="X57" s="9" t="s">
        <v>116</v>
      </c>
      <c r="Y57" s="9" t="s">
        <v>7</v>
      </c>
      <c r="Z57" s="45">
        <f>Z51</f>
        <v>0</v>
      </c>
      <c r="AA57" s="9">
        <f>AA51</f>
        <v>0</v>
      </c>
      <c r="AB57" s="64">
        <f>AB51</f>
        <v>0</v>
      </c>
      <c r="AC57" s="36">
        <f t="shared" si="11"/>
        <v>0</v>
      </c>
    </row>
    <row r="58" spans="2:29" x14ac:dyDescent="0.2">
      <c r="B58" s="758"/>
      <c r="D58" s="773"/>
      <c r="E58" s="27" t="s">
        <v>13</v>
      </c>
      <c r="F58" s="9" t="s">
        <v>75</v>
      </c>
      <c r="G58" s="9" t="s">
        <v>12</v>
      </c>
      <c r="H58" s="6" t="s">
        <v>9</v>
      </c>
      <c r="I58" s="9" t="s">
        <v>9</v>
      </c>
      <c r="J58" s="9" t="s">
        <v>9</v>
      </c>
      <c r="K58" s="36">
        <f>SUM(K51:K57)*$E$17</f>
        <v>2023.1196666666667</v>
      </c>
      <c r="L58" s="21"/>
      <c r="M58" s="858"/>
      <c r="N58" s="27" t="s">
        <v>13</v>
      </c>
      <c r="O58" s="9" t="s">
        <v>115</v>
      </c>
      <c r="P58" s="9" t="s">
        <v>12</v>
      </c>
      <c r="Q58" s="6" t="s">
        <v>9</v>
      </c>
      <c r="R58" s="9" t="s">
        <v>9</v>
      </c>
      <c r="S58" s="9" t="s">
        <v>9</v>
      </c>
      <c r="T58" s="36">
        <f>SUM(T51:T57)*$E$17</f>
        <v>2666.4936666666667</v>
      </c>
      <c r="U58" s="38"/>
      <c r="V58" s="858"/>
      <c r="W58" s="27" t="s">
        <v>13</v>
      </c>
      <c r="X58" s="9" t="s">
        <v>116</v>
      </c>
      <c r="Y58" s="9" t="s">
        <v>12</v>
      </c>
      <c r="Z58" s="6" t="s">
        <v>9</v>
      </c>
      <c r="AA58" s="9" t="s">
        <v>9</v>
      </c>
      <c r="AB58" s="9" t="s">
        <v>9</v>
      </c>
      <c r="AC58" s="58">
        <f>SUM(AC51:AC57)*$E$17</f>
        <v>2614.078833333333</v>
      </c>
    </row>
    <row r="59" spans="2:29" ht="16" thickBot="1" x14ac:dyDescent="0.25">
      <c r="B59" s="758"/>
      <c r="D59" s="776"/>
      <c r="E59" s="74"/>
      <c r="F59" s="71"/>
      <c r="G59" s="29"/>
      <c r="H59" s="29"/>
      <c r="I59" s="29"/>
      <c r="J59" s="43" t="s">
        <v>48</v>
      </c>
      <c r="K59" s="37">
        <f>SUM(K51:K58)</f>
        <v>22254.316333333332</v>
      </c>
      <c r="L59" s="18"/>
      <c r="M59" s="859"/>
      <c r="N59" s="71"/>
      <c r="O59" s="71"/>
      <c r="P59" s="29"/>
      <c r="Q59" s="29"/>
      <c r="R59" s="29"/>
      <c r="S59" s="43" t="s">
        <v>48</v>
      </c>
      <c r="T59" s="37">
        <f>SUM(T51:T58)</f>
        <v>29331.43033333333</v>
      </c>
      <c r="U59" s="38"/>
      <c r="V59" s="859"/>
      <c r="W59" s="71"/>
      <c r="X59" s="71"/>
      <c r="Y59" s="29"/>
      <c r="Z59" s="29"/>
      <c r="AA59" s="29"/>
      <c r="AB59" s="43" t="s">
        <v>48</v>
      </c>
      <c r="AC59" s="37">
        <f>SUM(AC51:AC58)</f>
        <v>28754.867166666663</v>
      </c>
    </row>
    <row r="60" spans="2:29" ht="16" thickBot="1" x14ac:dyDescent="0.25">
      <c r="B60" s="758"/>
      <c r="D60" s="38"/>
      <c r="E60" s="69"/>
      <c r="F60" s="60"/>
      <c r="G60" s="60"/>
      <c r="H60" s="51"/>
      <c r="I60" s="51"/>
      <c r="J60" s="18"/>
      <c r="K60" s="19"/>
      <c r="L60" s="18"/>
      <c r="U60" s="38"/>
    </row>
    <row r="61" spans="2:29" x14ac:dyDescent="0.2">
      <c r="B61" s="758"/>
      <c r="D61" s="770" t="s">
        <v>210</v>
      </c>
      <c r="E61" s="72" t="s">
        <v>4</v>
      </c>
      <c r="F61" s="72" t="s">
        <v>35</v>
      </c>
      <c r="G61" s="75" t="s">
        <v>5</v>
      </c>
      <c r="H61" s="72" t="s">
        <v>6</v>
      </c>
      <c r="I61" s="72" t="s">
        <v>31</v>
      </c>
      <c r="J61" s="75" t="s">
        <v>29</v>
      </c>
      <c r="K61" s="76" t="s">
        <v>32</v>
      </c>
      <c r="L61" s="18"/>
      <c r="M61" s="869" t="s">
        <v>210</v>
      </c>
      <c r="N61" s="78" t="s">
        <v>4</v>
      </c>
      <c r="O61" s="72" t="s">
        <v>35</v>
      </c>
      <c r="P61" s="75" t="s">
        <v>5</v>
      </c>
      <c r="Q61" s="72" t="s">
        <v>6</v>
      </c>
      <c r="R61" s="72" t="s">
        <v>31</v>
      </c>
      <c r="S61" s="75" t="s">
        <v>29</v>
      </c>
      <c r="T61" s="76" t="s">
        <v>32</v>
      </c>
      <c r="U61" s="38"/>
      <c r="V61" s="869" t="s">
        <v>210</v>
      </c>
      <c r="W61" s="78" t="s">
        <v>4</v>
      </c>
      <c r="X61" s="72" t="s">
        <v>35</v>
      </c>
      <c r="Y61" s="75" t="s">
        <v>5</v>
      </c>
      <c r="Z61" s="72" t="s">
        <v>77</v>
      </c>
      <c r="AA61" s="72" t="s">
        <v>31</v>
      </c>
      <c r="AB61" s="75" t="s">
        <v>29</v>
      </c>
      <c r="AC61" s="76" t="s">
        <v>32</v>
      </c>
    </row>
    <row r="62" spans="2:29" x14ac:dyDescent="0.2">
      <c r="B62" s="758"/>
      <c r="D62" s="773"/>
      <c r="E62" s="27" t="s">
        <v>43</v>
      </c>
      <c r="F62" s="9" t="s">
        <v>75</v>
      </c>
      <c r="G62" s="9" t="s">
        <v>7</v>
      </c>
      <c r="H62" s="46">
        <f>(E9/J5)</f>
        <v>0.77777777777777779</v>
      </c>
      <c r="I62" s="31">
        <f t="shared" ref="I62:I68" si="12">($J$6+$J$8)*H62</f>
        <v>1283.3333333333333</v>
      </c>
      <c r="J62" s="16">
        <f>($F$30+$F$31)*H62</f>
        <v>63.7</v>
      </c>
      <c r="K62" s="7">
        <f>I62+J62</f>
        <v>1347.0333333333333</v>
      </c>
      <c r="L62" s="18"/>
      <c r="M62" s="858"/>
      <c r="N62" s="39" t="s">
        <v>54</v>
      </c>
      <c r="O62" s="9" t="s">
        <v>115</v>
      </c>
      <c r="P62" s="9" t="s">
        <v>7</v>
      </c>
      <c r="Q62" s="46">
        <f>F9/K5</f>
        <v>0.77777777777777779</v>
      </c>
      <c r="R62" s="31">
        <f t="shared" ref="R62:R68" si="13">($K$6+$K$8)*Q62</f>
        <v>1283.3333333333333</v>
      </c>
      <c r="S62" s="16">
        <f>(($F$30*$E$30)+($F$31*$E$31))*Q62</f>
        <v>63.7</v>
      </c>
      <c r="T62" s="7">
        <f>R62+S62</f>
        <v>1347.0333333333333</v>
      </c>
      <c r="U62" s="38"/>
      <c r="V62" s="858"/>
      <c r="W62" s="39" t="s">
        <v>60</v>
      </c>
      <c r="X62" s="9" t="s">
        <v>116</v>
      </c>
      <c r="Y62" s="9" t="s">
        <v>7</v>
      </c>
      <c r="Z62" s="46">
        <f>G9/L5</f>
        <v>0</v>
      </c>
      <c r="AA62" s="9">
        <f t="shared" ref="AA62:AA67" si="14">($L$6+$L$8)*Z62</f>
        <v>0</v>
      </c>
      <c r="AB62" s="79">
        <f>($F$34+$F$35)*Z62</f>
        <v>0</v>
      </c>
      <c r="AC62" s="7">
        <f>AA62+AB62</f>
        <v>0</v>
      </c>
    </row>
    <row r="63" spans="2:29" x14ac:dyDescent="0.2">
      <c r="B63" s="758"/>
      <c r="D63" s="773"/>
      <c r="E63" s="56" t="s">
        <v>105</v>
      </c>
      <c r="F63" s="9" t="s">
        <v>75</v>
      </c>
      <c r="G63" s="11" t="s">
        <v>12</v>
      </c>
      <c r="H63" s="47">
        <f>E18</f>
        <v>0.5</v>
      </c>
      <c r="I63" s="31">
        <f t="shared" si="12"/>
        <v>825</v>
      </c>
      <c r="J63" s="16">
        <f>(($F$28*$E$28)+($F$29*$E$29)+($F$30*$E$30)+($F$31*$E$31))*H63</f>
        <v>108.93</v>
      </c>
      <c r="K63" s="7">
        <f t="shared" ref="K63:K68" si="15">I63+J63</f>
        <v>933.93000000000006</v>
      </c>
      <c r="L63" s="18"/>
      <c r="M63" s="858"/>
      <c r="N63" s="56" t="s">
        <v>105</v>
      </c>
      <c r="O63" s="9" t="s">
        <v>115</v>
      </c>
      <c r="P63" s="9" t="s">
        <v>12</v>
      </c>
      <c r="Q63" s="3">
        <f>E18</f>
        <v>0.5</v>
      </c>
      <c r="R63" s="31">
        <f t="shared" si="13"/>
        <v>825</v>
      </c>
      <c r="S63" s="16">
        <f>(($F$28*$E$28)+($F$29*$E$29)+($F$30*$E$30)+($F$31*$E$31))*Q63</f>
        <v>108.93</v>
      </c>
      <c r="T63" s="7">
        <f t="shared" ref="T63:T68" si="16">R63+S63</f>
        <v>933.93000000000006</v>
      </c>
      <c r="U63" s="38"/>
      <c r="V63" s="858"/>
      <c r="W63" s="56" t="s">
        <v>105</v>
      </c>
      <c r="X63" s="9" t="s">
        <v>116</v>
      </c>
      <c r="Y63" s="9" t="s">
        <v>12</v>
      </c>
      <c r="Z63" s="3">
        <f>E18</f>
        <v>0.5</v>
      </c>
      <c r="AA63" s="9">
        <f t="shared" si="14"/>
        <v>673.95833333333326</v>
      </c>
      <c r="AB63" s="16">
        <f>(($F$32*$E$32)+($F$33*$E$33)+($F$34*$E$34)+($F$35*$E$35))*Z63</f>
        <v>108.7</v>
      </c>
      <c r="AC63" s="7">
        <f t="shared" ref="AC63:AC68" si="17">AA63+AB63</f>
        <v>782.6583333333333</v>
      </c>
    </row>
    <row r="64" spans="2:29" x14ac:dyDescent="0.2">
      <c r="B64" s="758"/>
      <c r="D64" s="773"/>
      <c r="E64" s="27" t="s">
        <v>42</v>
      </c>
      <c r="F64" s="9" t="s">
        <v>75</v>
      </c>
      <c r="G64" s="11" t="s">
        <v>8</v>
      </c>
      <c r="H64" s="45">
        <f>(E13/J5)</f>
        <v>0.94444444444444442</v>
      </c>
      <c r="I64" s="31">
        <f t="shared" si="12"/>
        <v>1558.3333333333333</v>
      </c>
      <c r="J64" s="16">
        <f>(($F$28*$E$28)+($F$29*$E$29)+($F$30*$E$30)+($F$31*$E$31))*H64</f>
        <v>205.75666666666666</v>
      </c>
      <c r="K64" s="7">
        <f t="shared" si="15"/>
        <v>1764.09</v>
      </c>
      <c r="L64" s="18"/>
      <c r="M64" s="858"/>
      <c r="N64" s="39" t="s">
        <v>55</v>
      </c>
      <c r="O64" s="9" t="s">
        <v>115</v>
      </c>
      <c r="P64" s="9" t="s">
        <v>8</v>
      </c>
      <c r="Q64" s="45">
        <f>F13/K5</f>
        <v>2.6666666666666665</v>
      </c>
      <c r="R64" s="31">
        <f t="shared" si="13"/>
        <v>4400</v>
      </c>
      <c r="S64" s="16">
        <f>(($F$28*$E$28)+($F$29*$E$29)+($F$30*$E$30)+($F$31*$E$31))*Q64</f>
        <v>580.96</v>
      </c>
      <c r="T64" s="7">
        <f t="shared" si="16"/>
        <v>4980.96</v>
      </c>
      <c r="U64" s="38"/>
      <c r="V64" s="858"/>
      <c r="W64" s="39" t="s">
        <v>58</v>
      </c>
      <c r="X64" s="9" t="s">
        <v>116</v>
      </c>
      <c r="Y64" s="9" t="s">
        <v>8</v>
      </c>
      <c r="Z64" s="45">
        <f>G13/L5</f>
        <v>4.5999999999999996</v>
      </c>
      <c r="AA64" s="9">
        <f t="shared" si="14"/>
        <v>6200.4166666666652</v>
      </c>
      <c r="AB64" s="16">
        <f>(($F$32*$E$32)+($F$33*$E$33)+($F$34*$E$34)+($F$35*$E$35))*Z64</f>
        <v>1000.04</v>
      </c>
      <c r="AC64" s="7">
        <f t="shared" si="17"/>
        <v>7200.4566666666651</v>
      </c>
    </row>
    <row r="65" spans="2:29" ht="15" customHeight="1" x14ac:dyDescent="0.2">
      <c r="B65" s="758"/>
      <c r="D65" s="773"/>
      <c r="E65" s="27" t="s">
        <v>50</v>
      </c>
      <c r="F65" s="9" t="s">
        <v>75</v>
      </c>
      <c r="G65" s="11" t="s">
        <v>10</v>
      </c>
      <c r="H65" s="45">
        <f>E22</f>
        <v>3</v>
      </c>
      <c r="I65" s="31">
        <f t="shared" si="12"/>
        <v>4950</v>
      </c>
      <c r="J65" s="16">
        <f>(($F$28*$E$28)+($F$29*$E$29)+($F$30*$E$30)+($F$31*$E$31))*H65</f>
        <v>653.58000000000004</v>
      </c>
      <c r="K65" s="7">
        <f t="shared" si="15"/>
        <v>5603.58</v>
      </c>
      <c r="L65" s="18"/>
      <c r="M65" s="858"/>
      <c r="N65" s="39" t="s">
        <v>50</v>
      </c>
      <c r="O65" s="9" t="s">
        <v>115</v>
      </c>
      <c r="P65" s="9" t="s">
        <v>10</v>
      </c>
      <c r="Q65" s="45">
        <f>E22</f>
        <v>3</v>
      </c>
      <c r="R65" s="31">
        <f t="shared" si="13"/>
        <v>4950</v>
      </c>
      <c r="S65" s="16">
        <f>(($F$28*$E$28)+($F$29*$E$29)+($F$30*$E$30)+($F$31*$E$31))*Q65</f>
        <v>653.58000000000004</v>
      </c>
      <c r="T65" s="7">
        <f t="shared" si="16"/>
        <v>5603.58</v>
      </c>
      <c r="U65" s="38"/>
      <c r="V65" s="858"/>
      <c r="W65" s="39" t="s">
        <v>50</v>
      </c>
      <c r="X65" s="9" t="s">
        <v>116</v>
      </c>
      <c r="Y65" s="9" t="s">
        <v>10</v>
      </c>
      <c r="Z65" s="45">
        <f>E22</f>
        <v>3</v>
      </c>
      <c r="AA65" s="9">
        <f t="shared" si="14"/>
        <v>4043.7499999999995</v>
      </c>
      <c r="AB65" s="16">
        <f>(($F$32*$E$32)+($F$33*$E$33)+($F$34*$E$34)+($F$35*$E$35))*Z65</f>
        <v>652.20000000000005</v>
      </c>
      <c r="AC65" s="7">
        <f t="shared" si="17"/>
        <v>4695.95</v>
      </c>
    </row>
    <row r="66" spans="2:29" x14ac:dyDescent="0.2">
      <c r="B66" s="758"/>
      <c r="D66" s="773"/>
      <c r="E66" s="27" t="s">
        <v>11</v>
      </c>
      <c r="F66" s="9" t="s">
        <v>75</v>
      </c>
      <c r="G66" s="11" t="s">
        <v>12</v>
      </c>
      <c r="H66" s="45">
        <f>E23</f>
        <v>1</v>
      </c>
      <c r="I66" s="31">
        <f t="shared" si="12"/>
        <v>1650</v>
      </c>
      <c r="J66" s="16">
        <f>(($F$28*$E$28)+($F$29*$E$29)+($F$30*$E$30)+($F$31*$E$31))*H66</f>
        <v>217.86</v>
      </c>
      <c r="K66" s="7">
        <f t="shared" si="15"/>
        <v>1867.8600000000001</v>
      </c>
      <c r="L66" s="18"/>
      <c r="M66" s="858"/>
      <c r="N66" s="39" t="s">
        <v>11</v>
      </c>
      <c r="O66" s="9" t="s">
        <v>115</v>
      </c>
      <c r="P66" s="9" t="s">
        <v>12</v>
      </c>
      <c r="Q66" s="45">
        <f>E23</f>
        <v>1</v>
      </c>
      <c r="R66" s="31">
        <f t="shared" si="13"/>
        <v>1650</v>
      </c>
      <c r="S66" s="16">
        <f>(($F$28*$E$28)+($F$29*$E$29)+($F$30*$E$30)+($F$31*$E$31))*Q66</f>
        <v>217.86</v>
      </c>
      <c r="T66" s="7">
        <f t="shared" si="16"/>
        <v>1867.8600000000001</v>
      </c>
      <c r="U66" s="38"/>
      <c r="V66" s="858"/>
      <c r="W66" s="39" t="s">
        <v>11</v>
      </c>
      <c r="X66" s="9" t="s">
        <v>116</v>
      </c>
      <c r="Y66" s="9" t="s">
        <v>12</v>
      </c>
      <c r="Z66" s="45">
        <f>E23</f>
        <v>1</v>
      </c>
      <c r="AA66" s="9">
        <f t="shared" si="14"/>
        <v>1347.9166666666665</v>
      </c>
      <c r="AB66" s="16">
        <f>(($F$32*$E$32)+($F$33*$E$33)+($F$34*$E$34)+($F$35*$E$35))*Z66</f>
        <v>217.4</v>
      </c>
      <c r="AC66" s="7">
        <f t="shared" si="17"/>
        <v>1565.3166666666666</v>
      </c>
    </row>
    <row r="67" spans="2:29" x14ac:dyDescent="0.2">
      <c r="B67" s="758"/>
      <c r="D67" s="773"/>
      <c r="E67" s="27" t="s">
        <v>45</v>
      </c>
      <c r="F67" s="9" t="s">
        <v>75</v>
      </c>
      <c r="G67" s="11" t="s">
        <v>8</v>
      </c>
      <c r="H67" s="45">
        <f>H64</f>
        <v>0.94444444444444442</v>
      </c>
      <c r="I67" s="31">
        <f t="shared" si="12"/>
        <v>1558.3333333333333</v>
      </c>
      <c r="J67" s="16">
        <f>(($F$28*$E$28)+($F$29*$E$29)+($F$30*$E$30)+($F$31*$E$31))*H67</f>
        <v>205.75666666666666</v>
      </c>
      <c r="K67" s="7">
        <f t="shared" si="15"/>
        <v>1764.09</v>
      </c>
      <c r="L67" s="18"/>
      <c r="M67" s="858"/>
      <c r="N67" s="39" t="s">
        <v>56</v>
      </c>
      <c r="O67" s="9" t="s">
        <v>115</v>
      </c>
      <c r="P67" s="9" t="s">
        <v>8</v>
      </c>
      <c r="Q67" s="45">
        <f>Q64</f>
        <v>2.6666666666666665</v>
      </c>
      <c r="R67" s="31">
        <f t="shared" si="13"/>
        <v>4400</v>
      </c>
      <c r="S67" s="16">
        <f>(($F$28*$E$28)+($F$29*$E$29)+($F$30*$E$30)+($F$31*$E$31))*Q67</f>
        <v>580.96</v>
      </c>
      <c r="T67" s="7">
        <f t="shared" si="16"/>
        <v>4980.96</v>
      </c>
      <c r="U67" s="38"/>
      <c r="V67" s="858"/>
      <c r="W67" s="39" t="s">
        <v>59</v>
      </c>
      <c r="X67" s="9" t="s">
        <v>116</v>
      </c>
      <c r="Y67" s="9" t="s">
        <v>8</v>
      </c>
      <c r="Z67" s="45">
        <f>Z64</f>
        <v>4.5999999999999996</v>
      </c>
      <c r="AA67" s="9">
        <f t="shared" si="14"/>
        <v>6200.4166666666652</v>
      </c>
      <c r="AB67" s="16">
        <f>(($F$32*$E$32)+($F$33*$E$33)+($F$34*$E$34)+($F$35*$E$35))*Z67</f>
        <v>1000.04</v>
      </c>
      <c r="AC67" s="7">
        <f t="shared" si="17"/>
        <v>7200.4566666666651</v>
      </c>
    </row>
    <row r="68" spans="2:29" x14ac:dyDescent="0.2">
      <c r="B68" s="758"/>
      <c r="D68" s="773"/>
      <c r="E68" s="27" t="s">
        <v>44</v>
      </c>
      <c r="F68" s="9" t="s">
        <v>75</v>
      </c>
      <c r="G68" s="11" t="s">
        <v>7</v>
      </c>
      <c r="H68" s="45">
        <f>H62</f>
        <v>0.77777777777777779</v>
      </c>
      <c r="I68" s="31">
        <f t="shared" si="12"/>
        <v>1283.3333333333333</v>
      </c>
      <c r="J68" s="16">
        <f>($F$30+$F$31)*H68</f>
        <v>63.7</v>
      </c>
      <c r="K68" s="7">
        <f t="shared" si="15"/>
        <v>1347.0333333333333</v>
      </c>
      <c r="L68" s="13"/>
      <c r="M68" s="858"/>
      <c r="N68" s="39" t="s">
        <v>57</v>
      </c>
      <c r="O68" s="9" t="s">
        <v>115</v>
      </c>
      <c r="P68" s="9" t="s">
        <v>7</v>
      </c>
      <c r="Q68" s="45">
        <f>Q62</f>
        <v>0.77777777777777779</v>
      </c>
      <c r="R68" s="31">
        <f t="shared" si="13"/>
        <v>1283.3333333333333</v>
      </c>
      <c r="S68" s="16">
        <f>(($F$30*$E$30)+($F$31*$E$31))*Q62</f>
        <v>63.7</v>
      </c>
      <c r="T68" s="7">
        <f t="shared" si="16"/>
        <v>1347.0333333333333</v>
      </c>
      <c r="U68" s="38"/>
      <c r="V68" s="858"/>
      <c r="W68" s="39" t="s">
        <v>61</v>
      </c>
      <c r="X68" s="9" t="s">
        <v>116</v>
      </c>
      <c r="Y68" s="9" t="s">
        <v>7</v>
      </c>
      <c r="Z68" s="45">
        <f>Z62</f>
        <v>0</v>
      </c>
      <c r="AA68" s="9">
        <f>AA62</f>
        <v>0</v>
      </c>
      <c r="AB68" s="79">
        <f>AB62</f>
        <v>0</v>
      </c>
      <c r="AC68" s="7">
        <f t="shared" si="17"/>
        <v>0</v>
      </c>
    </row>
    <row r="69" spans="2:29" x14ac:dyDescent="0.2">
      <c r="B69" s="758"/>
      <c r="D69" s="773"/>
      <c r="E69" s="27" t="s">
        <v>13</v>
      </c>
      <c r="F69" s="9" t="s">
        <v>75</v>
      </c>
      <c r="G69" s="11" t="s">
        <v>12</v>
      </c>
      <c r="H69" s="6" t="s">
        <v>9</v>
      </c>
      <c r="I69" s="9" t="s">
        <v>9</v>
      </c>
      <c r="J69" s="11" t="s">
        <v>9</v>
      </c>
      <c r="K69" s="7">
        <f>SUM(K62:K68)*$E$17</f>
        <v>1462.7616666666668</v>
      </c>
      <c r="L69" s="5"/>
      <c r="M69" s="858"/>
      <c r="N69" s="39" t="s">
        <v>13</v>
      </c>
      <c r="O69" s="9" t="s">
        <v>115</v>
      </c>
      <c r="P69" s="9" t="s">
        <v>12</v>
      </c>
      <c r="Q69" s="6" t="s">
        <v>9</v>
      </c>
      <c r="R69" s="9" t="s">
        <v>9</v>
      </c>
      <c r="S69" s="11" t="s">
        <v>9</v>
      </c>
      <c r="T69" s="7">
        <f>SUM(T62:T68)*$E$17</f>
        <v>2106.1356666666666</v>
      </c>
      <c r="U69" s="787"/>
      <c r="V69" s="858"/>
      <c r="W69" s="39" t="s">
        <v>13</v>
      </c>
      <c r="X69" s="9" t="s">
        <v>116</v>
      </c>
      <c r="Y69" s="9" t="s">
        <v>12</v>
      </c>
      <c r="Z69" s="6" t="s">
        <v>9</v>
      </c>
      <c r="AA69" s="9" t="s">
        <v>9</v>
      </c>
      <c r="AB69" s="11" t="s">
        <v>9</v>
      </c>
      <c r="AC69" s="55">
        <f>SUM(AC62:AC68)*$E$17</f>
        <v>2144.4838333333332</v>
      </c>
    </row>
    <row r="70" spans="2:29" ht="16" thickBot="1" x14ac:dyDescent="0.25">
      <c r="B70" s="758"/>
      <c r="D70" s="776"/>
      <c r="E70" s="57"/>
      <c r="F70" s="42"/>
      <c r="G70" s="42"/>
      <c r="H70" s="29"/>
      <c r="I70" s="29"/>
      <c r="J70" s="43" t="s">
        <v>71</v>
      </c>
      <c r="K70" s="37">
        <f>SUM(K61:K69)</f>
        <v>16090.378333333334</v>
      </c>
      <c r="M70" s="859"/>
      <c r="N70" s="42"/>
      <c r="O70" s="42"/>
      <c r="P70" s="42"/>
      <c r="Q70" s="29"/>
      <c r="R70" s="29"/>
      <c r="S70" s="43" t="s">
        <v>71</v>
      </c>
      <c r="T70" s="37">
        <f>SUM(T61:T69)</f>
        <v>23167.492333333332</v>
      </c>
      <c r="U70" s="787"/>
      <c r="V70" s="859"/>
      <c r="W70" s="42"/>
      <c r="X70" s="42"/>
      <c r="Y70" s="42"/>
      <c r="Z70" s="29"/>
      <c r="AA70" s="29"/>
      <c r="AB70" s="43" t="s">
        <v>71</v>
      </c>
      <c r="AC70" s="37">
        <f>SUM(AC61:AC69)</f>
        <v>23589.322166666661</v>
      </c>
    </row>
    <row r="71" spans="2:29" ht="16" thickBot="1" x14ac:dyDescent="0.25">
      <c r="B71" s="758"/>
      <c r="U71" s="787"/>
    </row>
    <row r="72" spans="2:29" ht="15" customHeight="1" x14ac:dyDescent="0.2">
      <c r="B72" s="758"/>
      <c r="D72" s="860" t="s">
        <v>184</v>
      </c>
      <c r="E72" s="72" t="s">
        <v>4</v>
      </c>
      <c r="F72" s="72" t="s">
        <v>35</v>
      </c>
      <c r="G72" s="77" t="s">
        <v>5</v>
      </c>
      <c r="H72" s="72" t="s">
        <v>77</v>
      </c>
      <c r="I72" s="72" t="s">
        <v>31</v>
      </c>
      <c r="J72" s="72" t="s">
        <v>29</v>
      </c>
      <c r="K72" s="76" t="s">
        <v>32</v>
      </c>
      <c r="M72" s="860" t="s">
        <v>184</v>
      </c>
      <c r="N72" s="78" t="s">
        <v>4</v>
      </c>
      <c r="O72" s="72" t="s">
        <v>35</v>
      </c>
      <c r="P72" s="75" t="s">
        <v>5</v>
      </c>
      <c r="Q72" s="72" t="s">
        <v>77</v>
      </c>
      <c r="R72" s="72" t="s">
        <v>31</v>
      </c>
      <c r="S72" s="75" t="s">
        <v>29</v>
      </c>
      <c r="T72" s="76" t="s">
        <v>32</v>
      </c>
      <c r="U72" s="787"/>
      <c r="V72" s="860" t="s">
        <v>184</v>
      </c>
      <c r="W72" s="78" t="s">
        <v>4</v>
      </c>
      <c r="X72" s="72" t="s">
        <v>35</v>
      </c>
      <c r="Y72" s="75" t="s">
        <v>5</v>
      </c>
      <c r="Z72" s="72" t="s">
        <v>77</v>
      </c>
      <c r="AA72" s="72" t="s">
        <v>31</v>
      </c>
      <c r="AB72" s="75" t="s">
        <v>29</v>
      </c>
      <c r="AC72" s="76" t="s">
        <v>32</v>
      </c>
    </row>
    <row r="73" spans="2:29" ht="16" x14ac:dyDescent="0.2">
      <c r="B73" s="758"/>
      <c r="D73" s="861"/>
      <c r="E73" s="39" t="s">
        <v>43</v>
      </c>
      <c r="F73" s="9" t="s">
        <v>75</v>
      </c>
      <c r="G73" s="9" t="s">
        <v>46</v>
      </c>
      <c r="H73" s="3">
        <f>E9/J5</f>
        <v>0.77777777777777779</v>
      </c>
      <c r="I73" s="31">
        <f>($J$6+$J$8)*H73</f>
        <v>1283.3333333333333</v>
      </c>
      <c r="J73" s="16">
        <f>($F$30+$F$31)*H73</f>
        <v>63.7</v>
      </c>
      <c r="K73" s="7">
        <f>I73+J73</f>
        <v>1347.0333333333333</v>
      </c>
      <c r="L73" s="4"/>
      <c r="M73" s="861"/>
      <c r="N73" s="39" t="s">
        <v>54</v>
      </c>
      <c r="O73" s="9" t="s">
        <v>115</v>
      </c>
      <c r="P73" s="9" t="s">
        <v>46</v>
      </c>
      <c r="Q73" s="3">
        <f>F9/K5</f>
        <v>0.77777777777777779</v>
      </c>
      <c r="R73" s="31">
        <f>($K$6+$K$8)*Q73</f>
        <v>1283.3333333333333</v>
      </c>
      <c r="S73" s="16">
        <f>(($F$30*$E$30)+($F$31*$E$31))*Q73</f>
        <v>63.7</v>
      </c>
      <c r="T73" s="7">
        <f>R73+S73</f>
        <v>1347.0333333333333</v>
      </c>
      <c r="U73" s="787"/>
      <c r="V73" s="861"/>
      <c r="W73" s="39" t="s">
        <v>60</v>
      </c>
      <c r="X73" s="9" t="s">
        <v>116</v>
      </c>
      <c r="Y73" s="27" t="s">
        <v>46</v>
      </c>
      <c r="Z73" s="3">
        <f>G9/L5</f>
        <v>0</v>
      </c>
      <c r="AA73" s="31">
        <f>($L$6+$L$8)*Z73</f>
        <v>0</v>
      </c>
      <c r="AB73" s="16">
        <f>($F$34+$F$35)*Z73</f>
        <v>0</v>
      </c>
      <c r="AC73" s="7">
        <f>AA73+AB73</f>
        <v>0</v>
      </c>
    </row>
    <row r="74" spans="2:29" ht="16" x14ac:dyDescent="0.2">
      <c r="B74" s="758"/>
      <c r="D74" s="861"/>
      <c r="E74" s="39" t="s">
        <v>42</v>
      </c>
      <c r="F74" s="9" t="s">
        <v>75</v>
      </c>
      <c r="G74" s="11" t="s">
        <v>8</v>
      </c>
      <c r="H74" s="45">
        <f>E13/J5</f>
        <v>0.94444444444444442</v>
      </c>
      <c r="I74" s="31">
        <f>($J$6+$J$8)*H74</f>
        <v>1558.3333333333333</v>
      </c>
      <c r="J74" s="16">
        <f>(($F$28*$E$28)+($F$29*$E$29)+($F$30*$E$30)+($F$31*$E$31))*H74</f>
        <v>205.75666666666666</v>
      </c>
      <c r="K74" s="7">
        <f t="shared" ref="K74:K77" si="18">I74+J74</f>
        <v>1764.09</v>
      </c>
      <c r="L74" s="4"/>
      <c r="M74" s="861"/>
      <c r="N74" s="39" t="s">
        <v>55</v>
      </c>
      <c r="O74" s="9" t="s">
        <v>115</v>
      </c>
      <c r="P74" s="11" t="s">
        <v>8</v>
      </c>
      <c r="Q74" s="45">
        <f>F13/K5</f>
        <v>2.6666666666666665</v>
      </c>
      <c r="R74" s="31">
        <f>($K$6+$K$8)*Q74</f>
        <v>4400</v>
      </c>
      <c r="S74" s="16">
        <f>(($F$28*$E$28)+($F$29*$E$29)+($F$30*$E$30)+($F$31*$E$31))*Q74</f>
        <v>580.96</v>
      </c>
      <c r="T74" s="7">
        <f t="shared" ref="T74:T77" si="19">R74+S74</f>
        <v>4980.96</v>
      </c>
      <c r="U74" s="787"/>
      <c r="V74" s="861"/>
      <c r="W74" s="39" t="s">
        <v>58</v>
      </c>
      <c r="X74" s="9" t="s">
        <v>116</v>
      </c>
      <c r="Y74" s="28" t="s">
        <v>8</v>
      </c>
      <c r="Z74" s="45">
        <f>G13/L5</f>
        <v>4.5999999999999996</v>
      </c>
      <c r="AA74" s="31">
        <f>($L$6+$L$8)*Z74</f>
        <v>6200.4166666666652</v>
      </c>
      <c r="AB74" s="16">
        <f>(($F$32*$E$32)+($F$33*$E$33)+($F$34*$E$34)+($F$35*$E$35))*Z74</f>
        <v>1000.04</v>
      </c>
      <c r="AC74" s="7">
        <f t="shared" ref="AC74:AC77" si="20">AA74+AB74</f>
        <v>7200.4566666666651</v>
      </c>
    </row>
    <row r="75" spans="2:29" ht="16" customHeight="1" x14ac:dyDescent="0.2">
      <c r="B75" s="758"/>
      <c r="D75" s="861"/>
      <c r="E75" s="39" t="s">
        <v>104</v>
      </c>
      <c r="F75" s="9" t="s">
        <v>75</v>
      </c>
      <c r="G75" s="11" t="s">
        <v>10</v>
      </c>
      <c r="H75" s="45">
        <f>E24</f>
        <v>0</v>
      </c>
      <c r="I75" s="31">
        <f>($J$6+$J$8)*H75</f>
        <v>0</v>
      </c>
      <c r="J75" s="16">
        <f>(($F$28*$E$28)+($F$29*$E$29)+($F$30*$E$30)+($F$31*$E$31))*H75</f>
        <v>0</v>
      </c>
      <c r="K75" s="7">
        <f>I75+J75</f>
        <v>0</v>
      </c>
      <c r="L75" s="4"/>
      <c r="M75" s="861"/>
      <c r="N75" s="39" t="s">
        <v>104</v>
      </c>
      <c r="O75" s="9" t="s">
        <v>115</v>
      </c>
      <c r="P75" s="11" t="s">
        <v>10</v>
      </c>
      <c r="Q75" s="45">
        <f>E24</f>
        <v>0</v>
      </c>
      <c r="R75" s="31">
        <f>($K$6+$K$8)*Q75</f>
        <v>0</v>
      </c>
      <c r="S75" s="16">
        <f>(($F$28*$E$28)+($F$29*$E$29)+($F$30*$E$30)+($F$31*$E$31))*Q75</f>
        <v>0</v>
      </c>
      <c r="T75" s="7">
        <f t="shared" si="19"/>
        <v>0</v>
      </c>
      <c r="U75" s="787"/>
      <c r="V75" s="861"/>
      <c r="W75" s="39" t="s">
        <v>104</v>
      </c>
      <c r="X75" s="9" t="s">
        <v>116</v>
      </c>
      <c r="Y75" s="28" t="s">
        <v>10</v>
      </c>
      <c r="Z75" s="45">
        <f>E24</f>
        <v>0</v>
      </c>
      <c r="AA75" s="31">
        <f>($L$6+$L$8)*Z75</f>
        <v>0</v>
      </c>
      <c r="AB75" s="16">
        <f>(($F$32*$E$32)+($F$33*$E$33)+($F$34*$E$34)+($F$35*$E$35))*Z75</f>
        <v>0</v>
      </c>
      <c r="AC75" s="7">
        <f t="shared" si="20"/>
        <v>0</v>
      </c>
    </row>
    <row r="76" spans="2:29" ht="16" x14ac:dyDescent="0.2">
      <c r="B76" s="758"/>
      <c r="D76" s="861"/>
      <c r="E76" s="39" t="s">
        <v>45</v>
      </c>
      <c r="F76" s="9" t="s">
        <v>75</v>
      </c>
      <c r="G76" s="11" t="s">
        <v>8</v>
      </c>
      <c r="H76" s="45">
        <f>H74</f>
        <v>0.94444444444444442</v>
      </c>
      <c r="I76" s="31">
        <f>($J$6+$J$8)*H76</f>
        <v>1558.3333333333333</v>
      </c>
      <c r="J76" s="16">
        <f>(($F$28*$E$28)+($F$29*$E$29)+($F$30*$E$30)+($F$31*$E$31))*H76</f>
        <v>205.75666666666666</v>
      </c>
      <c r="K76" s="7">
        <f t="shared" si="18"/>
        <v>1764.09</v>
      </c>
      <c r="L76" s="4"/>
      <c r="M76" s="861"/>
      <c r="N76" s="39" t="s">
        <v>56</v>
      </c>
      <c r="O76" s="9" t="s">
        <v>115</v>
      </c>
      <c r="P76" s="11" t="s">
        <v>8</v>
      </c>
      <c r="Q76" s="45">
        <f>Q74</f>
        <v>2.6666666666666665</v>
      </c>
      <c r="R76" s="31">
        <f>($K$6+$K$8)*Q76</f>
        <v>4400</v>
      </c>
      <c r="S76" s="16">
        <f>(($F$28*$E$28)+($F$29*$E$29)+($F$30*$E$30)+($F$31*$E$31))*Q76</f>
        <v>580.96</v>
      </c>
      <c r="T76" s="7">
        <f t="shared" si="19"/>
        <v>4980.96</v>
      </c>
      <c r="U76" s="787"/>
      <c r="V76" s="861"/>
      <c r="W76" s="39" t="s">
        <v>59</v>
      </c>
      <c r="X76" s="9" t="s">
        <v>116</v>
      </c>
      <c r="Y76" s="28" t="s">
        <v>8</v>
      </c>
      <c r="Z76" s="45">
        <f>Z74</f>
        <v>4.5999999999999996</v>
      </c>
      <c r="AA76" s="31">
        <f>($L$6+$L$8)*Z76</f>
        <v>6200.4166666666652</v>
      </c>
      <c r="AB76" s="16">
        <f>(($F$32*$E$32)+($F$33*$E$33)+($F$34*$E$34)+($F$35*$E$35))*Z76</f>
        <v>1000.04</v>
      </c>
      <c r="AC76" s="7">
        <f t="shared" si="20"/>
        <v>7200.4566666666651</v>
      </c>
    </row>
    <row r="77" spans="2:29" ht="16" x14ac:dyDescent="0.2">
      <c r="B77" s="758"/>
      <c r="D77" s="861"/>
      <c r="E77" s="39" t="s">
        <v>44</v>
      </c>
      <c r="F77" s="9" t="s">
        <v>75</v>
      </c>
      <c r="G77" s="11" t="s">
        <v>46</v>
      </c>
      <c r="H77" s="45">
        <f>H73</f>
        <v>0.77777777777777779</v>
      </c>
      <c r="I77" s="31">
        <f>($J$6+$J$8)*H77</f>
        <v>1283.3333333333333</v>
      </c>
      <c r="J77" s="16">
        <f>($F$30+$F$31)*H77</f>
        <v>63.7</v>
      </c>
      <c r="K77" s="7">
        <f t="shared" si="18"/>
        <v>1347.0333333333333</v>
      </c>
      <c r="L77" s="4"/>
      <c r="M77" s="861"/>
      <c r="N77" s="39" t="s">
        <v>57</v>
      </c>
      <c r="O77" s="9" t="s">
        <v>115</v>
      </c>
      <c r="P77" s="11" t="s">
        <v>46</v>
      </c>
      <c r="Q77" s="45">
        <f>Q73</f>
        <v>0.77777777777777779</v>
      </c>
      <c r="R77" s="31">
        <f>($K$6+$K$8)*Q77</f>
        <v>1283.3333333333333</v>
      </c>
      <c r="S77" s="16">
        <f>(($F$30*$E$30)+($F$31*$E$31))*Q77</f>
        <v>63.7</v>
      </c>
      <c r="T77" s="7">
        <f t="shared" si="19"/>
        <v>1347.0333333333333</v>
      </c>
      <c r="U77" s="787"/>
      <c r="V77" s="861"/>
      <c r="W77" s="39" t="s">
        <v>61</v>
      </c>
      <c r="X77" s="9" t="s">
        <v>116</v>
      </c>
      <c r="Y77" s="28" t="s">
        <v>46</v>
      </c>
      <c r="Z77" s="45">
        <f>Z73</f>
        <v>0</v>
      </c>
      <c r="AA77" s="31">
        <f>AA73</f>
        <v>0</v>
      </c>
      <c r="AB77" s="16">
        <f>AB73</f>
        <v>0</v>
      </c>
      <c r="AC77" s="7">
        <f t="shared" si="20"/>
        <v>0</v>
      </c>
    </row>
    <row r="78" spans="2:29" x14ac:dyDescent="0.2">
      <c r="B78" s="758"/>
      <c r="D78" s="861"/>
      <c r="E78" s="39" t="s">
        <v>13</v>
      </c>
      <c r="F78" s="9" t="s">
        <v>75</v>
      </c>
      <c r="G78" s="9" t="s">
        <v>12</v>
      </c>
      <c r="H78" s="11" t="s">
        <v>9</v>
      </c>
      <c r="I78" s="9" t="s">
        <v>9</v>
      </c>
      <c r="J78" s="16" t="s">
        <v>9</v>
      </c>
      <c r="K78" s="7">
        <f>SUM(K73:K77)*$E$17</f>
        <v>622.22466666666662</v>
      </c>
      <c r="L78" s="13"/>
      <c r="M78" s="861"/>
      <c r="N78" s="39" t="s">
        <v>13</v>
      </c>
      <c r="O78" s="9" t="s">
        <v>115</v>
      </c>
      <c r="P78" s="9" t="s">
        <v>12</v>
      </c>
      <c r="Q78" s="11" t="s">
        <v>9</v>
      </c>
      <c r="R78" s="9" t="s">
        <v>9</v>
      </c>
      <c r="S78" s="16" t="s">
        <v>9</v>
      </c>
      <c r="T78" s="7">
        <f>SUM(T73:T77)*$E$17</f>
        <v>1265.5986666666668</v>
      </c>
      <c r="U78" s="787"/>
      <c r="V78" s="861"/>
      <c r="W78" s="39" t="s">
        <v>13</v>
      </c>
      <c r="X78" s="9" t="s">
        <v>116</v>
      </c>
      <c r="Y78" s="27" t="s">
        <v>12</v>
      </c>
      <c r="Z78" s="11" t="s">
        <v>9</v>
      </c>
      <c r="AA78" s="9" t="s">
        <v>9</v>
      </c>
      <c r="AB78" s="16" t="s">
        <v>9</v>
      </c>
      <c r="AC78" s="55">
        <f>SUM(AC73:AC77)*$E$17</f>
        <v>1440.0913333333331</v>
      </c>
    </row>
    <row r="79" spans="2:29" ht="16" thickBot="1" x14ac:dyDescent="0.25">
      <c r="B79" s="758"/>
      <c r="D79" s="862"/>
      <c r="E79" s="42"/>
      <c r="F79" s="42"/>
      <c r="G79" s="42"/>
      <c r="H79" s="29"/>
      <c r="I79" s="29"/>
      <c r="J79" s="43" t="s">
        <v>122</v>
      </c>
      <c r="K79" s="37">
        <v>0</v>
      </c>
      <c r="L79" s="5"/>
      <c r="M79" s="862"/>
      <c r="N79" s="42"/>
      <c r="O79" s="42"/>
      <c r="P79" s="42"/>
      <c r="Q79" s="29"/>
      <c r="R79" s="29"/>
      <c r="S79" s="43" t="s">
        <v>122</v>
      </c>
      <c r="T79" s="37">
        <v>0</v>
      </c>
      <c r="U79" s="787"/>
      <c r="V79" s="862"/>
      <c r="W79" s="42"/>
      <c r="X79" s="42"/>
      <c r="Y79" s="42"/>
      <c r="Z79" s="29"/>
      <c r="AA79" s="29"/>
      <c r="AB79" s="43" t="s">
        <v>122</v>
      </c>
      <c r="AC79" s="37">
        <v>0</v>
      </c>
    </row>
    <row r="80" spans="2:29" ht="16" thickBot="1" x14ac:dyDescent="0.25">
      <c r="B80" s="758"/>
      <c r="L80" s="20"/>
      <c r="U80" s="787"/>
    </row>
    <row r="81" spans="2:24" x14ac:dyDescent="0.2">
      <c r="B81" s="758"/>
      <c r="D81" s="860" t="s">
        <v>117</v>
      </c>
      <c r="E81" s="75" t="s">
        <v>213</v>
      </c>
      <c r="F81" s="73" t="s">
        <v>142</v>
      </c>
      <c r="L81" s="20"/>
      <c r="M81" s="860" t="s">
        <v>117</v>
      </c>
      <c r="N81" s="75" t="s">
        <v>213</v>
      </c>
      <c r="O81" s="73" t="s">
        <v>142</v>
      </c>
      <c r="U81" s="787"/>
      <c r="V81" s="860" t="s">
        <v>117</v>
      </c>
      <c r="W81" s="75" t="s">
        <v>213</v>
      </c>
      <c r="X81" s="73" t="s">
        <v>142</v>
      </c>
    </row>
    <row r="82" spans="2:24" x14ac:dyDescent="0.2">
      <c r="B82" s="758"/>
      <c r="D82" s="861"/>
      <c r="E82" s="27" t="s">
        <v>673</v>
      </c>
      <c r="F82" s="194">
        <f>J20</f>
        <v>258</v>
      </c>
      <c r="L82" s="20"/>
      <c r="M82" s="861"/>
      <c r="N82" s="27" t="s">
        <v>673</v>
      </c>
      <c r="O82" s="194">
        <f>J20</f>
        <v>258</v>
      </c>
      <c r="U82" s="787"/>
      <c r="V82" s="861"/>
      <c r="W82" s="27" t="s">
        <v>679</v>
      </c>
      <c r="X82" s="194">
        <f>J19</f>
        <v>258</v>
      </c>
    </row>
    <row r="83" spans="2:24" x14ac:dyDescent="0.2">
      <c r="B83" s="758"/>
      <c r="D83" s="861"/>
      <c r="E83" s="27" t="s">
        <v>517</v>
      </c>
      <c r="F83" s="194">
        <f>J21</f>
        <v>2267.25</v>
      </c>
      <c r="L83" s="20"/>
      <c r="M83" s="861"/>
      <c r="N83" s="27" t="s">
        <v>518</v>
      </c>
      <c r="O83" s="194">
        <f>J22</f>
        <v>1267.25</v>
      </c>
      <c r="U83" s="787"/>
      <c r="V83" s="861"/>
      <c r="W83" s="27" t="s">
        <v>805</v>
      </c>
      <c r="X83" s="194">
        <f>J23</f>
        <v>1650</v>
      </c>
    </row>
    <row r="84" spans="2:24" x14ac:dyDescent="0.2">
      <c r="B84" s="758"/>
      <c r="D84" s="861"/>
      <c r="E84" s="27" t="s">
        <v>804</v>
      </c>
      <c r="F84" s="194">
        <v>0</v>
      </c>
      <c r="L84" s="20"/>
      <c r="M84" s="861"/>
      <c r="N84" s="27" t="s">
        <v>804</v>
      </c>
      <c r="O84" s="194">
        <f>J27</f>
        <v>5799</v>
      </c>
      <c r="U84" s="787"/>
      <c r="V84" s="861"/>
      <c r="W84" s="27" t="s">
        <v>804</v>
      </c>
      <c r="X84" s="194">
        <f>J27</f>
        <v>5799</v>
      </c>
    </row>
    <row r="85" spans="2:24" x14ac:dyDescent="0.2">
      <c r="B85" s="758"/>
      <c r="D85" s="861"/>
      <c r="E85" s="27" t="s">
        <v>675</v>
      </c>
      <c r="F85" s="194">
        <v>0</v>
      </c>
      <c r="L85" s="20"/>
      <c r="M85" s="861"/>
      <c r="N85" s="27" t="s">
        <v>675</v>
      </c>
      <c r="O85" s="194">
        <f>J28+J29</f>
        <v>6794</v>
      </c>
      <c r="U85" s="787"/>
      <c r="V85" s="861"/>
      <c r="W85" s="27" t="s">
        <v>675</v>
      </c>
      <c r="X85" s="194">
        <f>J28+J29</f>
        <v>6794</v>
      </c>
    </row>
    <row r="86" spans="2:24" x14ac:dyDescent="0.2">
      <c r="B86" s="758"/>
      <c r="D86" s="861"/>
      <c r="E86" s="27" t="s">
        <v>676</v>
      </c>
      <c r="F86" s="194">
        <v>0</v>
      </c>
      <c r="L86" s="20"/>
      <c r="M86" s="861"/>
      <c r="N86" s="27" t="s">
        <v>676</v>
      </c>
      <c r="O86" s="194">
        <f>J30+J31</f>
        <v>724.02</v>
      </c>
      <c r="U86" s="787"/>
      <c r="V86" s="861"/>
      <c r="W86" s="27" t="s">
        <v>676</v>
      </c>
      <c r="X86" s="194">
        <f>J30+J31</f>
        <v>724.02</v>
      </c>
    </row>
    <row r="87" spans="2:24" ht="16" thickBot="1" x14ac:dyDescent="0.25">
      <c r="B87" s="759"/>
      <c r="D87" s="862"/>
      <c r="E87" s="43" t="s">
        <v>677</v>
      </c>
      <c r="F87" s="37">
        <f>SUM(F82:F86)</f>
        <v>2525.25</v>
      </c>
      <c r="L87" s="20"/>
      <c r="M87" s="862"/>
      <c r="N87" s="43" t="s">
        <v>677</v>
      </c>
      <c r="O87" s="37">
        <f>SUM(O82:O86)</f>
        <v>14842.27</v>
      </c>
      <c r="U87" s="787"/>
      <c r="V87" s="862"/>
      <c r="W87" s="43" t="s">
        <v>677</v>
      </c>
      <c r="X87" s="37">
        <f>SUM(X82:X86)</f>
        <v>15225.02</v>
      </c>
    </row>
    <row r="88" spans="2:24" x14ac:dyDescent="0.2">
      <c r="B88" s="12"/>
      <c r="L88" s="20"/>
      <c r="U88" s="787"/>
    </row>
    <row r="89" spans="2:24" x14ac:dyDescent="0.2">
      <c r="B89" s="12"/>
      <c r="L89" s="20"/>
      <c r="U89" s="787"/>
    </row>
    <row r="90" spans="2:24" x14ac:dyDescent="0.2">
      <c r="B90" s="12"/>
      <c r="L90" s="20"/>
      <c r="U90" s="787"/>
    </row>
    <row r="91" spans="2:24" x14ac:dyDescent="0.2">
      <c r="B91" s="12"/>
      <c r="L91" s="20"/>
      <c r="U91" s="787"/>
    </row>
    <row r="92" spans="2:24" x14ac:dyDescent="0.2">
      <c r="B92" s="12"/>
      <c r="L92" s="20"/>
      <c r="U92" s="787"/>
    </row>
    <row r="93" spans="2:24" ht="20" thickBot="1" x14ac:dyDescent="0.25">
      <c r="B93" s="12"/>
      <c r="F93" s="843"/>
      <c r="G93" s="843"/>
      <c r="H93" s="843"/>
      <c r="I93" s="843"/>
      <c r="L93" s="20"/>
      <c r="U93" s="787"/>
    </row>
    <row r="94" spans="2:24" ht="16" customHeight="1" x14ac:dyDescent="0.2">
      <c r="B94" s="757" t="s">
        <v>26</v>
      </c>
      <c r="D94" s="852" t="s">
        <v>948</v>
      </c>
      <c r="E94" s="854"/>
      <c r="F94" s="169"/>
      <c r="G94" s="852" t="s">
        <v>948</v>
      </c>
      <c r="H94" s="854"/>
      <c r="I94" s="169"/>
      <c r="L94" s="20"/>
      <c r="U94" s="787"/>
    </row>
    <row r="95" spans="2:24" ht="20" thickBot="1" x14ac:dyDescent="0.25">
      <c r="B95" s="758"/>
      <c r="D95" s="834" t="s">
        <v>1017</v>
      </c>
      <c r="E95" s="836"/>
      <c r="F95" s="232"/>
      <c r="G95" s="834" t="s">
        <v>1020</v>
      </c>
      <c r="H95" s="836"/>
      <c r="I95" s="232"/>
      <c r="U95" s="787"/>
    </row>
    <row r="96" spans="2:24" ht="20" x14ac:dyDescent="0.2">
      <c r="B96" s="758"/>
      <c r="D96" s="491" t="s">
        <v>62</v>
      </c>
      <c r="E96" s="492" t="s">
        <v>212</v>
      </c>
      <c r="F96" s="232"/>
      <c r="G96" s="491" t="s">
        <v>62</v>
      </c>
      <c r="H96" s="492" t="s">
        <v>212</v>
      </c>
      <c r="U96" s="787"/>
    </row>
    <row r="97" spans="2:21" ht="20" x14ac:dyDescent="0.2">
      <c r="B97" s="758"/>
      <c r="D97" s="509" t="s">
        <v>927</v>
      </c>
      <c r="E97" s="532">
        <f>K79+K48+F82+F83</f>
        <v>18615.628333333334</v>
      </c>
      <c r="F97" s="187"/>
      <c r="G97" s="509" t="s">
        <v>927</v>
      </c>
      <c r="H97" s="532">
        <f>K79+K48+F82+F83+F85+K70</f>
        <v>34706.006666666668</v>
      </c>
      <c r="U97" s="787"/>
    </row>
    <row r="98" spans="2:21" ht="19" x14ac:dyDescent="0.25">
      <c r="B98" s="758"/>
      <c r="D98" s="489" t="s">
        <v>929</v>
      </c>
      <c r="E98" s="196">
        <f>T79+T48+O82+O83+O84</f>
        <v>30491.742333333332</v>
      </c>
      <c r="F98" s="90"/>
      <c r="G98" s="489" t="s">
        <v>929</v>
      </c>
      <c r="H98" s="196">
        <f>T79+T48+O82+O83+O85+T70</f>
        <v>54654.234666666664</v>
      </c>
      <c r="I98" s="90"/>
      <c r="U98" s="787"/>
    </row>
    <row r="99" spans="2:21" ht="24" customHeight="1" x14ac:dyDescent="0.2">
      <c r="B99" s="758"/>
      <c r="D99" s="509" t="s">
        <v>930</v>
      </c>
      <c r="E99" s="196">
        <f>AC79+AC48+X82+X83+X84</f>
        <v>31296.322166666661</v>
      </c>
      <c r="G99" s="509" t="s">
        <v>930</v>
      </c>
      <c r="H99" s="196">
        <f>AC79+AC48+X82+X83+X84+X85+AC70</f>
        <v>61679.64433333333</v>
      </c>
      <c r="U99" s="787"/>
    </row>
    <row r="100" spans="2:21" ht="20" x14ac:dyDescent="0.2">
      <c r="B100" s="758"/>
      <c r="D100" s="509" t="s">
        <v>923</v>
      </c>
      <c r="E100" s="196">
        <f>K79+K48+F82+F83</f>
        <v>18615.628333333334</v>
      </c>
      <c r="G100" s="509" t="s">
        <v>923</v>
      </c>
      <c r="H100" s="196">
        <f>K79+K48+F82+F83+K59+F86+F84</f>
        <v>40869.944666666663</v>
      </c>
      <c r="U100" s="787"/>
    </row>
    <row r="101" spans="2:21" ht="19" x14ac:dyDescent="0.2">
      <c r="B101" s="758"/>
      <c r="D101" s="489" t="s">
        <v>924</v>
      </c>
      <c r="E101" s="196">
        <f>T79+T48+O82+O83+O84</f>
        <v>30491.742333333332</v>
      </c>
      <c r="G101" s="489" t="s">
        <v>924</v>
      </c>
      <c r="H101" s="196">
        <f>T79+T48+O82+O83+O84+O86+T59</f>
        <v>60547.192666666662</v>
      </c>
      <c r="U101" s="787"/>
    </row>
    <row r="102" spans="2:21" ht="21" thickBot="1" x14ac:dyDescent="0.25">
      <c r="B102" s="759"/>
      <c r="D102" s="490" t="s">
        <v>926</v>
      </c>
      <c r="E102" s="197">
        <f>AC79+AC48+X82+X83+X84</f>
        <v>31296.322166666661</v>
      </c>
      <c r="G102" s="490" t="s">
        <v>926</v>
      </c>
      <c r="H102" s="197">
        <f>AC79+AC48+X82+X83+X84+X86+AC59</f>
        <v>60775.209333333325</v>
      </c>
      <c r="U102" s="787"/>
    </row>
    <row r="103" spans="2:21" x14ac:dyDescent="0.2">
      <c r="B103" s="12"/>
      <c r="U103" s="787"/>
    </row>
    <row r="104" spans="2:21" x14ac:dyDescent="0.2">
      <c r="B104" s="12"/>
      <c r="U104" s="787"/>
    </row>
    <row r="105" spans="2:21" x14ac:dyDescent="0.2">
      <c r="B105" s="12"/>
      <c r="U105" s="787"/>
    </row>
    <row r="106" spans="2:21" x14ac:dyDescent="0.2">
      <c r="B106" s="12"/>
      <c r="U106" s="787"/>
    </row>
    <row r="107" spans="2:21" x14ac:dyDescent="0.2">
      <c r="B107" s="12"/>
      <c r="U107" s="787"/>
    </row>
    <row r="108" spans="2:21" x14ac:dyDescent="0.2">
      <c r="B108" s="12"/>
      <c r="U108" s="787"/>
    </row>
    <row r="109" spans="2:21" x14ac:dyDescent="0.2">
      <c r="B109" s="12"/>
      <c r="U109" s="787"/>
    </row>
    <row r="110" spans="2:21" x14ac:dyDescent="0.2">
      <c r="B110" s="12"/>
      <c r="U110" s="787"/>
    </row>
    <row r="111" spans="2:21" x14ac:dyDescent="0.2">
      <c r="B111" s="12"/>
      <c r="U111" s="787"/>
    </row>
    <row r="112" spans="2:21" x14ac:dyDescent="0.2">
      <c r="B112" s="12"/>
      <c r="U112" s="787"/>
    </row>
    <row r="113" spans="2:21" x14ac:dyDescent="0.2">
      <c r="B113" s="12"/>
      <c r="U113" s="787"/>
    </row>
    <row r="114" spans="2:21" x14ac:dyDescent="0.2">
      <c r="B114" s="12"/>
      <c r="U114" s="787"/>
    </row>
    <row r="115" spans="2:21" x14ac:dyDescent="0.2">
      <c r="B115" s="12"/>
      <c r="U115" s="787"/>
    </row>
    <row r="116" spans="2:21" x14ac:dyDescent="0.2">
      <c r="B116" s="12"/>
      <c r="U116" s="787"/>
    </row>
    <row r="117" spans="2:21" x14ac:dyDescent="0.2">
      <c r="B117" s="12"/>
      <c r="U117" s="787"/>
    </row>
    <row r="118" spans="2:21" x14ac:dyDescent="0.2">
      <c r="B118" s="12"/>
      <c r="U118" s="787"/>
    </row>
    <row r="119" spans="2:21" x14ac:dyDescent="0.2">
      <c r="B119" s="12"/>
      <c r="U119" s="787"/>
    </row>
    <row r="120" spans="2:21" x14ac:dyDescent="0.2">
      <c r="B120" s="12"/>
      <c r="U120" s="787"/>
    </row>
    <row r="121" spans="2:21" x14ac:dyDescent="0.2">
      <c r="B121" s="12"/>
      <c r="U121" s="787"/>
    </row>
    <row r="122" spans="2:21" x14ac:dyDescent="0.2">
      <c r="B122" s="12"/>
      <c r="U122" s="787"/>
    </row>
    <row r="123" spans="2:21" x14ac:dyDescent="0.2">
      <c r="B123" s="12"/>
      <c r="U123" s="787"/>
    </row>
    <row r="124" spans="2:21" x14ac:dyDescent="0.2">
      <c r="U124" s="787"/>
    </row>
    <row r="125" spans="2:21" x14ac:dyDescent="0.2">
      <c r="U125" s="787"/>
    </row>
    <row r="126" spans="2:21" x14ac:dyDescent="0.2">
      <c r="U126" s="787"/>
    </row>
    <row r="127" spans="2:21" x14ac:dyDescent="0.2">
      <c r="U127" s="787"/>
    </row>
    <row r="128" spans="2:21" x14ac:dyDescent="0.2">
      <c r="U128" s="787"/>
    </row>
    <row r="129" spans="2:21" x14ac:dyDescent="0.2">
      <c r="U129" s="787"/>
    </row>
    <row r="130" spans="2:21" ht="17" customHeight="1" x14ac:dyDescent="0.2">
      <c r="L130" s="13"/>
      <c r="U130" s="787"/>
    </row>
    <row r="131" spans="2:21" ht="23" customHeight="1" x14ac:dyDescent="0.2"/>
    <row r="132" spans="2:21" ht="42" customHeight="1" x14ac:dyDescent="0.2">
      <c r="B132" s="12"/>
    </row>
    <row r="133" spans="2:21" ht="49" customHeight="1" x14ac:dyDescent="0.2">
      <c r="B133" s="12"/>
    </row>
    <row r="134" spans="2:21" ht="49" customHeight="1" x14ac:dyDescent="0.2">
      <c r="B134" s="12"/>
    </row>
    <row r="135" spans="2:21" x14ac:dyDescent="0.2">
      <c r="B135" s="12"/>
    </row>
    <row r="136" spans="2:21" x14ac:dyDescent="0.2">
      <c r="B136" s="12"/>
    </row>
    <row r="137" spans="2:21" x14ac:dyDescent="0.2">
      <c r="B137" s="12"/>
    </row>
    <row r="163" spans="4:11" ht="16" x14ac:dyDescent="0.2">
      <c r="D163" s="65"/>
      <c r="E163" s="65"/>
      <c r="F163" s="65"/>
      <c r="G163" s="65"/>
      <c r="H163" s="65"/>
      <c r="I163" s="65"/>
      <c r="J163" s="65"/>
      <c r="K163" s="65"/>
    </row>
    <row r="164" spans="4:11" x14ac:dyDescent="0.2">
      <c r="F164" s="872"/>
      <c r="G164" s="872"/>
      <c r="H164" s="59"/>
      <c r="I164" s="59"/>
      <c r="J164" s="872"/>
      <c r="K164" s="872"/>
    </row>
    <row r="165" spans="4:11" x14ac:dyDescent="0.2">
      <c r="D165" s="788"/>
      <c r="E165" s="48"/>
    </row>
    <row r="166" spans="4:11" x14ac:dyDescent="0.2">
      <c r="D166" s="788"/>
      <c r="E166" s="49"/>
    </row>
    <row r="167" spans="4:11" x14ac:dyDescent="0.2">
      <c r="D167" s="788"/>
      <c r="E167" s="48"/>
    </row>
    <row r="168" spans="4:11" x14ac:dyDescent="0.2">
      <c r="D168" s="788"/>
      <c r="E168" s="48"/>
    </row>
    <row r="169" spans="4:11" x14ac:dyDescent="0.2">
      <c r="D169" s="788"/>
      <c r="E169" s="50"/>
      <c r="F169" s="870"/>
      <c r="G169" s="870"/>
      <c r="H169" s="82"/>
      <c r="I169" s="82"/>
      <c r="J169" s="870"/>
      <c r="K169" s="870"/>
    </row>
    <row r="170" spans="4:11" x14ac:dyDescent="0.2">
      <c r="D170" s="787"/>
      <c r="E170" s="48"/>
    </row>
    <row r="171" spans="4:11" x14ac:dyDescent="0.2">
      <c r="D171" s="787"/>
      <c r="E171" s="49"/>
    </row>
    <row r="172" spans="4:11" x14ac:dyDescent="0.2">
      <c r="D172" s="787"/>
      <c r="E172" s="48"/>
    </row>
    <row r="173" spans="4:11" x14ac:dyDescent="0.2">
      <c r="D173" s="787"/>
      <c r="E173" s="48"/>
    </row>
    <row r="174" spans="4:11" x14ac:dyDescent="0.2">
      <c r="D174" s="787"/>
      <c r="E174" s="50"/>
      <c r="F174" s="870"/>
      <c r="G174" s="870"/>
      <c r="H174" s="82"/>
      <c r="I174" s="82"/>
      <c r="J174" s="870"/>
      <c r="K174" s="870"/>
    </row>
  </sheetData>
  <sheetProtection algorithmName="SHA-512" hashValue="AvY87eYHch+Ee3AmP/mB23jg2w/JB/DCOP+i+/Be2bY6pFaZyFfKoQX9jW+zjiuIuYZ7/nSBl4fjKZIG8G8GVg==" saltValue="Jgs7pmIh26ghfWj5ZGMNKQ==" spinCount="100000" sheet="1" objects="1" scenarios="1"/>
  <mergeCells count="54">
    <mergeCell ref="D26:F26"/>
    <mergeCell ref="M5:N15"/>
    <mergeCell ref="K26:L26"/>
    <mergeCell ref="B94:B102"/>
    <mergeCell ref="K22:L22"/>
    <mergeCell ref="K23:L23"/>
    <mergeCell ref="I25:L25"/>
    <mergeCell ref="L27:L31"/>
    <mergeCell ref="I33:J33"/>
    <mergeCell ref="G16:G24"/>
    <mergeCell ref="M61:M70"/>
    <mergeCell ref="K18:L18"/>
    <mergeCell ref="I17:L17"/>
    <mergeCell ref="B38:B87"/>
    <mergeCell ref="B3:B35"/>
    <mergeCell ref="I3:L3"/>
    <mergeCell ref="F164:G164"/>
    <mergeCell ref="J164:K164"/>
    <mergeCell ref="D94:E94"/>
    <mergeCell ref="D95:E95"/>
    <mergeCell ref="D61:D70"/>
    <mergeCell ref="G94:H94"/>
    <mergeCell ref="G95:H95"/>
    <mergeCell ref="D170:D174"/>
    <mergeCell ref="F174:G174"/>
    <mergeCell ref="J174:K174"/>
    <mergeCell ref="D165:D169"/>
    <mergeCell ref="F169:G169"/>
    <mergeCell ref="J169:K169"/>
    <mergeCell ref="V38:AC38"/>
    <mergeCell ref="D39:D48"/>
    <mergeCell ref="D50:D59"/>
    <mergeCell ref="M50:M59"/>
    <mergeCell ref="V50:V59"/>
    <mergeCell ref="U44:U49"/>
    <mergeCell ref="V39:V48"/>
    <mergeCell ref="M39:M48"/>
    <mergeCell ref="D38:K38"/>
    <mergeCell ref="M38:T38"/>
    <mergeCell ref="V61:V70"/>
    <mergeCell ref="U69:U78"/>
    <mergeCell ref="D72:D79"/>
    <mergeCell ref="M72:M79"/>
    <mergeCell ref="V72:V79"/>
    <mergeCell ref="U79:U130"/>
    <mergeCell ref="D81:D87"/>
    <mergeCell ref="M81:M87"/>
    <mergeCell ref="V81:V87"/>
    <mergeCell ref="F93:I93"/>
    <mergeCell ref="D15:F15"/>
    <mergeCell ref="D3:G3"/>
    <mergeCell ref="K19:L19"/>
    <mergeCell ref="K20:L20"/>
    <mergeCell ref="K21:L21"/>
  </mergeCells>
  <hyperlinks>
    <hyperlink ref="J15" r:id="rId1" display="WHOI" xr:uid="{8A60DF33-834F-F94C-9767-9EF98B29DEF0}"/>
    <hyperlink ref="K15" r:id="rId2" display="WHOI" xr:uid="{CED46163-C9D2-2947-918C-95A9F7392638}"/>
    <hyperlink ref="L15" r:id="rId3" display="USFWS" xr:uid="{9EE6D7BA-C169-0843-80B9-24C457BF7802}"/>
  </hyperlink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EA02-AD88-4B49-9B0B-7BF1A7F5DF0A}">
  <dimension ref="B1:AE108"/>
  <sheetViews>
    <sheetView zoomScaleNormal="100" workbookViewId="0">
      <selection activeCell="M23" sqref="M23"/>
    </sheetView>
  </sheetViews>
  <sheetFormatPr baseColWidth="10" defaultColWidth="8.83203125" defaultRowHeight="15" x14ac:dyDescent="0.2"/>
  <cols>
    <col min="1" max="1" width="5.83203125" style="1" customWidth="1"/>
    <col min="2" max="2" width="8.83203125" style="1"/>
    <col min="3" max="3" width="5.6640625" style="1" customWidth="1"/>
    <col min="4" max="4" width="34.1640625" style="1" bestFit="1" customWidth="1"/>
    <col min="5" max="5" width="34.83203125" style="1" bestFit="1" customWidth="1"/>
    <col min="6" max="6" width="23.83203125" style="1" bestFit="1" customWidth="1"/>
    <col min="7" max="7" width="21.5" style="1" customWidth="1"/>
    <col min="8" max="8" width="13.1640625" style="1" bestFit="1" customWidth="1"/>
    <col min="9" max="9" width="21.83203125" style="1" bestFit="1" customWidth="1"/>
    <col min="10" max="10" width="21.1640625" style="1" bestFit="1" customWidth="1"/>
    <col min="11" max="11" width="22.33203125" style="1" bestFit="1" customWidth="1"/>
    <col min="12" max="12" width="21.5" style="1" customWidth="1"/>
    <col min="13" max="13" width="21" style="1" customWidth="1"/>
    <col min="14" max="14" width="34.83203125" style="1" bestFit="1" customWidth="1"/>
    <col min="15" max="15" width="12.83203125" style="1" customWidth="1"/>
    <col min="16" max="16" width="27.1640625" style="1" customWidth="1"/>
    <col min="17" max="17" width="10" style="1" customWidth="1"/>
    <col min="18" max="18" width="12.1640625" style="1" bestFit="1" customWidth="1"/>
    <col min="19" max="19" width="35" style="1" bestFit="1" customWidth="1"/>
    <col min="20" max="20" width="21.5" style="1" bestFit="1" customWidth="1"/>
    <col min="21" max="21" width="7" style="1" customWidth="1"/>
    <col min="22" max="22" width="18.33203125" style="1" customWidth="1"/>
    <col min="23" max="23" width="34.83203125" style="1" bestFit="1" customWidth="1"/>
    <col min="24" max="24" width="14.83203125" style="1" bestFit="1" customWidth="1"/>
    <col min="25" max="25" width="11.1640625" style="1" bestFit="1" customWidth="1"/>
    <col min="26" max="26" width="9" style="1" customWidth="1"/>
    <col min="27" max="27" width="12.1640625" style="1" bestFit="1" customWidth="1"/>
    <col min="28" max="28" width="35" style="1" bestFit="1" customWidth="1"/>
    <col min="29" max="29" width="21.5" style="1" bestFit="1" customWidth="1"/>
    <col min="30" max="16384" width="8.83203125" style="1"/>
  </cols>
  <sheetData>
    <row r="1" spans="2:19" x14ac:dyDescent="0.2">
      <c r="B1" s="12"/>
    </row>
    <row r="2" spans="2:19" ht="15" customHeight="1" thickBot="1" x14ac:dyDescent="0.25">
      <c r="B2" s="12"/>
    </row>
    <row r="3" spans="2:19" ht="19" x14ac:dyDescent="0.25">
      <c r="B3" s="757" t="s">
        <v>25</v>
      </c>
      <c r="D3" s="848" t="s">
        <v>18</v>
      </c>
      <c r="E3" s="878"/>
      <c r="F3" s="878"/>
      <c r="G3" s="849"/>
      <c r="H3" s="4"/>
      <c r="I3" s="848" t="s">
        <v>16</v>
      </c>
      <c r="J3" s="878"/>
      <c r="K3" s="878"/>
      <c r="L3" s="849"/>
      <c r="O3" s="4"/>
    </row>
    <row r="4" spans="2:19" ht="18" thickBot="1" x14ac:dyDescent="0.25">
      <c r="B4" s="758"/>
      <c r="D4" s="299" t="s">
        <v>531</v>
      </c>
      <c r="E4" s="300" t="s">
        <v>14</v>
      </c>
      <c r="F4" s="300" t="s">
        <v>20</v>
      </c>
      <c r="G4" s="301" t="s">
        <v>15</v>
      </c>
      <c r="H4" s="5"/>
      <c r="I4" s="388"/>
      <c r="J4" s="300" t="s">
        <v>130</v>
      </c>
      <c r="K4" s="345" t="s">
        <v>129</v>
      </c>
      <c r="L4" s="301" t="s">
        <v>131</v>
      </c>
    </row>
    <row r="5" spans="2:19" x14ac:dyDescent="0.2">
      <c r="B5" s="758"/>
      <c r="D5" s="332" t="s">
        <v>34</v>
      </c>
      <c r="E5" s="340" t="str">
        <f>'1. MADWEC Installation'!E5</f>
        <v>41.2354° N, 71.0237° W</v>
      </c>
      <c r="F5" s="340" t="str">
        <f>'1. MADWEC Installation'!F5</f>
        <v>40.9334° N, 70.7985° W</v>
      </c>
      <c r="G5" s="341" t="str">
        <f>'1. MADWEC Installation'!G5</f>
        <v>59.0605° N, 152.0117° W</v>
      </c>
      <c r="H5" s="60"/>
      <c r="I5" s="329" t="s">
        <v>93</v>
      </c>
      <c r="J5" s="657">
        <f>'1. MADWEC Installation'!J5</f>
        <v>18</v>
      </c>
      <c r="K5" s="657">
        <f>'1. MADWEC Installation'!K5</f>
        <v>18</v>
      </c>
      <c r="L5" s="581">
        <f>'1. MADWEC Installation'!L5</f>
        <v>10</v>
      </c>
      <c r="M5" s="899" t="s">
        <v>992</v>
      </c>
      <c r="N5" s="896"/>
      <c r="O5" s="52"/>
    </row>
    <row r="6" spans="2:19" x14ac:dyDescent="0.2">
      <c r="B6" s="758"/>
      <c r="D6" s="320" t="s">
        <v>532</v>
      </c>
      <c r="E6" s="325" t="str">
        <f>'1. MADWEC Installation'!E6</f>
        <v>Massachusetts State Waters</v>
      </c>
      <c r="F6" s="325" t="str">
        <f>'1. MADWEC Installation'!F6</f>
        <v>Massachusetts Federal Waters</v>
      </c>
      <c r="G6" s="342" t="str">
        <f>'1. MADWEC Installation'!G6</f>
        <v>Alaska State Waters</v>
      </c>
      <c r="H6" s="60"/>
      <c r="I6" s="323" t="s">
        <v>27</v>
      </c>
      <c r="J6" s="640">
        <f>'1. MADWEC Installation'!J6</f>
        <v>400</v>
      </c>
      <c r="K6" s="640">
        <f>'1. MADWEC Installation'!K6</f>
        <v>400</v>
      </c>
      <c r="L6" s="582">
        <f>'1. MADWEC Installation'!L6</f>
        <v>400</v>
      </c>
      <c r="M6" s="737"/>
      <c r="N6" s="897"/>
    </row>
    <row r="7" spans="2:19" x14ac:dyDescent="0.2">
      <c r="B7" s="758"/>
      <c r="D7" s="320" t="s">
        <v>536</v>
      </c>
      <c r="E7" s="327" t="str">
        <f>'1. MADWEC Installation'!E7</f>
        <v>41.5242° N, 70.6712° W</v>
      </c>
      <c r="F7" s="328" t="str">
        <f>'1. MADWEC Installation'!F7</f>
        <v>41.5242° N, 70.6712° W</v>
      </c>
      <c r="G7" s="342" t="str">
        <f>'1. MADWEC Installation'!G7</f>
        <v>59.6371° N, 151.4522° W</v>
      </c>
      <c r="H7" s="60"/>
      <c r="I7" s="321" t="s">
        <v>74</v>
      </c>
      <c r="J7" s="644">
        <f>'1. MADWEC Installation'!J7</f>
        <v>15000</v>
      </c>
      <c r="K7" s="644">
        <f>'1. MADWEC Installation'!K7</f>
        <v>15000</v>
      </c>
      <c r="L7" s="645">
        <f>'1. MADWEC Installation'!L7</f>
        <v>11375</v>
      </c>
      <c r="M7" s="737"/>
      <c r="N7" s="897"/>
    </row>
    <row r="8" spans="2:19" ht="16" customHeight="1" x14ac:dyDescent="0.2">
      <c r="B8" s="758"/>
      <c r="D8" s="321" t="s">
        <v>540</v>
      </c>
      <c r="E8" s="325" t="str">
        <f>'1. MADWEC Installation'!E8</f>
        <v>WHOI</v>
      </c>
      <c r="F8" s="325" t="str">
        <f>'1. MADWEC Installation'!F8</f>
        <v>WHOI</v>
      </c>
      <c r="G8" s="342" t="str">
        <f>'1. MADWEC Installation'!G8</f>
        <v>City of Homer Port</v>
      </c>
      <c r="H8" s="60"/>
      <c r="I8" s="320" t="s">
        <v>30</v>
      </c>
      <c r="J8" s="640">
        <f>'1. MADWEC Installation'!J8</f>
        <v>1250</v>
      </c>
      <c r="K8" s="640">
        <f>'1. MADWEC Installation'!K8</f>
        <v>1250</v>
      </c>
      <c r="L8" s="646">
        <f>'1. MADWEC Installation'!L8</f>
        <v>947.91666666666663</v>
      </c>
      <c r="M8" s="737"/>
      <c r="N8" s="897"/>
    </row>
    <row r="9" spans="2:19" x14ac:dyDescent="0.2">
      <c r="B9" s="758"/>
      <c r="D9" s="320" t="s">
        <v>542</v>
      </c>
      <c r="E9" s="640">
        <f>'1. MADWEC Installation'!E9</f>
        <v>14</v>
      </c>
      <c r="F9" s="640">
        <f>'1. MADWEC Installation'!F9</f>
        <v>14</v>
      </c>
      <c r="G9" s="582">
        <f>'1. MADWEC Installation'!G9</f>
        <v>0</v>
      </c>
      <c r="H9" s="60"/>
      <c r="I9" s="323" t="s">
        <v>33</v>
      </c>
      <c r="J9" s="640" t="str">
        <f>'1. MADWEC Installation'!J9</f>
        <v>Woods Hole, MA</v>
      </c>
      <c r="K9" s="640" t="str">
        <f>'1. MADWEC Installation'!K9</f>
        <v>Wood's Hole, MA</v>
      </c>
      <c r="L9" s="582" t="str">
        <f>'1. MADWEC Installation'!L9</f>
        <v>Homer, AK</v>
      </c>
      <c r="M9" s="737"/>
      <c r="N9" s="897"/>
    </row>
    <row r="10" spans="2:19" ht="15" customHeight="1" x14ac:dyDescent="0.2">
      <c r="B10" s="758"/>
      <c r="D10" s="322" t="s">
        <v>537</v>
      </c>
      <c r="E10" s="640" t="str">
        <f>'1. MADWEC Installation'!E10</f>
        <v>WHOI</v>
      </c>
      <c r="F10" s="640" t="str">
        <f>'1. MADWEC Installation'!F10</f>
        <v>WHOI</v>
      </c>
      <c r="G10" s="582" t="str">
        <f>'1. MADWEC Installation'!G10</f>
        <v>USFWS</v>
      </c>
      <c r="H10" s="60"/>
      <c r="I10" s="321" t="s">
        <v>0</v>
      </c>
      <c r="J10" s="640">
        <f>'1. MADWEC Installation'!J10</f>
        <v>60</v>
      </c>
      <c r="K10" s="640">
        <f>'1. MADWEC Installation'!K10</f>
        <v>60</v>
      </c>
      <c r="L10" s="582">
        <f>'1. MADWEC Installation'!L10</f>
        <v>120</v>
      </c>
      <c r="M10" s="737"/>
      <c r="N10" s="897"/>
    </row>
    <row r="11" spans="2:19" x14ac:dyDescent="0.2">
      <c r="B11" s="758"/>
      <c r="D11" s="321" t="s">
        <v>538</v>
      </c>
      <c r="E11" s="642" t="str">
        <f>'1. MADWEC Installation'!E11</f>
        <v>41.6362° N, 70.9342° W</v>
      </c>
      <c r="F11" s="642" t="str">
        <f>'1. MADWEC Installation'!F11</f>
        <v>41.6362° N, 70.9342° W</v>
      </c>
      <c r="G11" s="582" t="str">
        <f>'1. MADWEC Installation'!G11</f>
        <v>59.6371° N, 151.4522° W</v>
      </c>
      <c r="H11" s="60"/>
      <c r="I11" s="321" t="s">
        <v>1</v>
      </c>
      <c r="J11" s="640">
        <f>'1. MADWEC Installation'!J11</f>
        <v>17</v>
      </c>
      <c r="K11" s="640">
        <f>'1. MADWEC Installation'!K11</f>
        <v>17</v>
      </c>
      <c r="L11" s="582">
        <f>'1. MADWEC Installation'!L11</f>
        <v>33</v>
      </c>
      <c r="M11" s="737"/>
      <c r="N11" s="897"/>
    </row>
    <row r="12" spans="2:19" ht="16" customHeight="1" x14ac:dyDescent="0.2">
      <c r="B12" s="758"/>
      <c r="D12" s="320" t="s">
        <v>539</v>
      </c>
      <c r="E12" s="640" t="str">
        <f>'1. MADWEC Installation'!E12</f>
        <v>New Bedford Harbor</v>
      </c>
      <c r="F12" s="640" t="str">
        <f>'1. MADWEC Installation'!F12</f>
        <v>New Bedford Harbor</v>
      </c>
      <c r="G12" s="582" t="str">
        <f>'1. MADWEC Installation'!G12</f>
        <v>City of Homer Port</v>
      </c>
      <c r="H12" s="60"/>
      <c r="I12" s="321" t="s">
        <v>2</v>
      </c>
      <c r="J12" s="640">
        <f>'1. MADWEC Installation'!J12</f>
        <v>5</v>
      </c>
      <c r="K12" s="640">
        <f>'1. MADWEC Installation'!K12</f>
        <v>5</v>
      </c>
      <c r="L12" s="582">
        <f>'1. MADWEC Installation'!L12</f>
        <v>11.5</v>
      </c>
      <c r="M12" s="737"/>
      <c r="N12" s="897"/>
    </row>
    <row r="13" spans="2:19" ht="16" thickBot="1" x14ac:dyDescent="0.25">
      <c r="B13" s="758"/>
      <c r="D13" s="331" t="s">
        <v>541</v>
      </c>
      <c r="E13" s="643">
        <f>'1. MADWEC Installation'!E13</f>
        <v>17</v>
      </c>
      <c r="F13" s="643">
        <f>'1. MADWEC Installation'!F13</f>
        <v>48</v>
      </c>
      <c r="G13" s="583">
        <f>'1. MADWEC Installation'!G13</f>
        <v>46</v>
      </c>
      <c r="H13" s="60"/>
      <c r="I13" s="321" t="s">
        <v>86</v>
      </c>
      <c r="J13" s="640">
        <f>'1. MADWEC Installation'!J13</f>
        <v>4600</v>
      </c>
      <c r="K13" s="640">
        <f>'1. MADWEC Installation'!K13</f>
        <v>4600</v>
      </c>
      <c r="L13" s="582">
        <f>'1. MADWEC Installation'!L13</f>
        <v>2000</v>
      </c>
      <c r="M13" s="737"/>
      <c r="N13" s="897"/>
    </row>
    <row r="14" spans="2:19" ht="33" customHeight="1" thickBot="1" x14ac:dyDescent="0.25">
      <c r="B14" s="758"/>
      <c r="D14" s="110"/>
      <c r="E14" s="52"/>
      <c r="F14" s="60"/>
      <c r="G14" s="59"/>
      <c r="H14" s="60"/>
      <c r="I14" s="321" t="s">
        <v>3</v>
      </c>
      <c r="J14" s="647" t="str">
        <f>'1. MADWEC Installation'!J14</f>
        <v>Woods Hole Oceanographic Institution</v>
      </c>
      <c r="K14" s="647" t="str">
        <f>'1. MADWEC Installation'!K14</f>
        <v>Woods Hole Oceanographic Institution</v>
      </c>
      <c r="L14" s="648" t="str">
        <f>'1. MADWEC Installation'!L14</f>
        <v>USFWS</v>
      </c>
      <c r="M14" s="737"/>
      <c r="N14" s="897"/>
    </row>
    <row r="15" spans="2:19" ht="20" thickBot="1" x14ac:dyDescent="0.3">
      <c r="B15" s="758"/>
      <c r="D15" s="848" t="s">
        <v>41</v>
      </c>
      <c r="E15" s="878"/>
      <c r="F15" s="849"/>
      <c r="G15" s="61"/>
      <c r="H15" s="60"/>
      <c r="I15" s="339" t="s">
        <v>83</v>
      </c>
      <c r="J15" s="643" t="str">
        <f>'1. MADWEC Installation'!J15</f>
        <v>WHOI</v>
      </c>
      <c r="K15" s="643" t="str">
        <f>'1. MADWEC Installation'!K15</f>
        <v>WHOI</v>
      </c>
      <c r="L15" s="583" t="str">
        <f>'1. MADWEC Installation'!L15</f>
        <v>USFWS</v>
      </c>
      <c r="M15" s="900"/>
      <c r="N15" s="898"/>
    </row>
    <row r="16" spans="2:19" ht="15" customHeight="1" thickBot="1" x14ac:dyDescent="0.25">
      <c r="B16" s="758"/>
      <c r="D16" s="350" t="s">
        <v>39</v>
      </c>
      <c r="E16" s="351" t="s">
        <v>17</v>
      </c>
      <c r="F16" s="352" t="s">
        <v>40</v>
      </c>
      <c r="G16" s="59"/>
      <c r="H16" s="60"/>
      <c r="I16" s="60"/>
      <c r="O16" s="788"/>
      <c r="R16" s="59"/>
      <c r="S16" s="60"/>
    </row>
    <row r="17" spans="2:31" ht="19" x14ac:dyDescent="0.25">
      <c r="B17" s="758"/>
      <c r="D17" s="329" t="s">
        <v>145</v>
      </c>
      <c r="E17" s="626">
        <f>4</f>
        <v>4</v>
      </c>
      <c r="F17" s="337" t="s">
        <v>76</v>
      </c>
      <c r="G17" s="61"/>
      <c r="H17" s="60"/>
      <c r="I17" s="848" t="s">
        <v>24</v>
      </c>
      <c r="J17" s="878"/>
      <c r="K17" s="849"/>
      <c r="O17" s="788"/>
      <c r="R17" s="61"/>
      <c r="S17" s="60"/>
    </row>
    <row r="18" spans="2:31" ht="15" customHeight="1" thickBot="1" x14ac:dyDescent="0.25">
      <c r="B18" s="758"/>
      <c r="D18" s="321" t="s">
        <v>146</v>
      </c>
      <c r="E18" s="652">
        <v>1</v>
      </c>
      <c r="F18" s="338" t="s">
        <v>76</v>
      </c>
      <c r="G18" s="59"/>
      <c r="H18" s="60"/>
      <c r="I18" s="347" t="s">
        <v>22</v>
      </c>
      <c r="J18" s="348" t="s">
        <v>23</v>
      </c>
      <c r="K18" s="349" t="s">
        <v>81</v>
      </c>
      <c r="O18" s="788"/>
      <c r="R18" s="59"/>
      <c r="S18" s="5"/>
    </row>
    <row r="19" spans="2:31" x14ac:dyDescent="0.2">
      <c r="B19" s="758"/>
      <c r="D19" s="321" t="s">
        <v>147</v>
      </c>
      <c r="E19" s="652">
        <v>16</v>
      </c>
      <c r="F19" s="338" t="s">
        <v>76</v>
      </c>
      <c r="G19" s="61"/>
      <c r="H19" s="60"/>
      <c r="I19" s="329" t="s">
        <v>132</v>
      </c>
      <c r="J19" s="614">
        <v>1</v>
      </c>
      <c r="K19" s="557">
        <f>'1. MADWEC Installation'!F33</f>
        <v>45.32</v>
      </c>
      <c r="O19" s="788"/>
      <c r="R19" s="61"/>
      <c r="S19" s="60"/>
    </row>
    <row r="20" spans="2:31" ht="15" customHeight="1" x14ac:dyDescent="0.2">
      <c r="B20" s="758"/>
      <c r="D20" s="321" t="s">
        <v>148</v>
      </c>
      <c r="E20" s="652">
        <v>2</v>
      </c>
      <c r="F20" s="338" t="s">
        <v>76</v>
      </c>
      <c r="I20" s="321" t="s">
        <v>133</v>
      </c>
      <c r="J20" s="612">
        <v>2</v>
      </c>
      <c r="K20" s="650">
        <f>'1. MADWEC Installation'!F34</f>
        <v>45.32</v>
      </c>
    </row>
    <row r="21" spans="2:31" ht="16" customHeight="1" x14ac:dyDescent="0.2">
      <c r="B21" s="758"/>
      <c r="D21" s="321" t="s">
        <v>13</v>
      </c>
      <c r="E21" s="652">
        <v>0.1</v>
      </c>
      <c r="F21" s="338" t="s">
        <v>53</v>
      </c>
      <c r="I21" s="320" t="s">
        <v>134</v>
      </c>
      <c r="J21" s="632">
        <v>1</v>
      </c>
      <c r="K21" s="650">
        <f>'1. MADWEC Installation'!F35</f>
        <v>40.950000000000003</v>
      </c>
      <c r="S21" s="4"/>
      <c r="X21" s="4"/>
    </row>
    <row r="22" spans="2:31" ht="16" customHeight="1" thickBot="1" x14ac:dyDescent="0.25">
      <c r="B22" s="758"/>
      <c r="D22" s="339" t="s">
        <v>149</v>
      </c>
      <c r="E22" s="653">
        <v>1</v>
      </c>
      <c r="F22" s="336" t="s">
        <v>76</v>
      </c>
      <c r="I22" s="321" t="s">
        <v>135</v>
      </c>
      <c r="J22" s="632">
        <v>1</v>
      </c>
      <c r="K22" s="650">
        <f>'1. MADWEC Installation'!F36</f>
        <v>40.950000000000003</v>
      </c>
      <c r="S22" s="4"/>
      <c r="T22" s="4"/>
      <c r="U22" s="4"/>
      <c r="V22" s="4"/>
      <c r="AE22" s="4"/>
    </row>
    <row r="23" spans="2:31" ht="15" customHeight="1" thickBot="1" x14ac:dyDescent="0.25">
      <c r="B23" s="758"/>
      <c r="I23" s="321" t="s">
        <v>136</v>
      </c>
      <c r="J23" s="612">
        <v>1</v>
      </c>
      <c r="K23" s="650">
        <f>'1. MADWEC Installation'!F37</f>
        <v>46.22</v>
      </c>
    </row>
    <row r="24" spans="2:31" ht="19" x14ac:dyDescent="0.25">
      <c r="B24" s="758"/>
      <c r="D24" s="848" t="s">
        <v>910</v>
      </c>
      <c r="E24" s="849"/>
      <c r="I24" s="321" t="s">
        <v>137</v>
      </c>
      <c r="J24" s="612">
        <v>2</v>
      </c>
      <c r="K24" s="650">
        <f>'1. MADWEC Installation'!F38</f>
        <v>46.22</v>
      </c>
    </row>
    <row r="25" spans="2:31" s="392" customFormat="1" ht="17" thickBot="1" x14ac:dyDescent="0.25">
      <c r="B25" s="758"/>
      <c r="D25" s="350" t="s">
        <v>908</v>
      </c>
      <c r="E25" s="352" t="s">
        <v>909</v>
      </c>
      <c r="I25" s="320" t="s">
        <v>138</v>
      </c>
      <c r="J25" s="632">
        <v>1</v>
      </c>
      <c r="K25" s="650">
        <f>'1. MADWEC Installation'!F39</f>
        <v>39.369999999999997</v>
      </c>
    </row>
    <row r="26" spans="2:31" ht="15" customHeight="1" thickBot="1" x14ac:dyDescent="0.25">
      <c r="B26" s="758"/>
      <c r="D26" s="329" t="s">
        <v>175</v>
      </c>
      <c r="E26" s="615">
        <v>4</v>
      </c>
      <c r="I26" s="331" t="s">
        <v>139</v>
      </c>
      <c r="J26" s="634">
        <v>1</v>
      </c>
      <c r="K26" s="651">
        <f>'1. MADWEC Installation'!F40</f>
        <v>39.369999999999997</v>
      </c>
    </row>
    <row r="27" spans="2:31" ht="15" customHeight="1" x14ac:dyDescent="0.2">
      <c r="B27" s="758"/>
      <c r="D27" s="321" t="s">
        <v>176</v>
      </c>
      <c r="E27" s="570">
        <v>2</v>
      </c>
    </row>
    <row r="28" spans="2:31" ht="15" customHeight="1" x14ac:dyDescent="0.2">
      <c r="B28" s="758"/>
      <c r="D28" s="320" t="s">
        <v>152</v>
      </c>
      <c r="E28" s="655">
        <v>4</v>
      </c>
    </row>
    <row r="29" spans="2:31" ht="15" customHeight="1" x14ac:dyDescent="0.2">
      <c r="B29" s="758"/>
      <c r="D29" s="320" t="s">
        <v>153</v>
      </c>
      <c r="E29" s="655">
        <v>2</v>
      </c>
    </row>
    <row r="30" spans="2:31" ht="15" customHeight="1" x14ac:dyDescent="0.2">
      <c r="B30" s="758"/>
      <c r="D30" s="320" t="s">
        <v>154</v>
      </c>
      <c r="E30" s="655">
        <v>4</v>
      </c>
      <c r="F30" s="52"/>
      <c r="W30" s="4"/>
      <c r="X30" s="4"/>
      <c r="Y30" s="4"/>
    </row>
    <row r="31" spans="2:31" ht="15" customHeight="1" thickBot="1" x14ac:dyDescent="0.25">
      <c r="B31" s="759"/>
      <c r="D31" s="339" t="s">
        <v>155</v>
      </c>
      <c r="E31" s="656">
        <v>2</v>
      </c>
      <c r="F31" s="52"/>
      <c r="W31" s="4"/>
      <c r="X31" s="4"/>
      <c r="Y31" s="4"/>
    </row>
    <row r="32" spans="2:31" ht="15" customHeight="1" x14ac:dyDescent="0.2">
      <c r="B32" s="14"/>
      <c r="E32" s="48" t="s">
        <v>156</v>
      </c>
      <c r="F32" s="52"/>
      <c r="L32" s="51"/>
      <c r="W32" s="4"/>
      <c r="X32" s="4"/>
      <c r="Y32" s="4"/>
    </row>
    <row r="33" spans="2:29" ht="15" customHeight="1" x14ac:dyDescent="0.2">
      <c r="B33" s="14"/>
      <c r="E33" s="48"/>
      <c r="F33" s="52"/>
      <c r="L33" s="51"/>
      <c r="W33" s="4"/>
      <c r="X33" s="4"/>
      <c r="Y33" s="4"/>
    </row>
    <row r="34" spans="2:29" ht="15" customHeight="1" thickBot="1" x14ac:dyDescent="0.25">
      <c r="B34" s="14"/>
      <c r="D34" s="5"/>
      <c r="W34" s="4"/>
      <c r="X34" s="4"/>
      <c r="Y34" s="4"/>
    </row>
    <row r="35" spans="2:29" ht="19" customHeight="1" x14ac:dyDescent="0.25">
      <c r="B35" s="757" t="s">
        <v>51</v>
      </c>
      <c r="D35" s="863" t="s">
        <v>47</v>
      </c>
      <c r="E35" s="864"/>
      <c r="F35" s="864"/>
      <c r="G35" s="864"/>
      <c r="H35" s="864"/>
      <c r="I35" s="864"/>
      <c r="J35" s="864"/>
      <c r="K35" s="865"/>
      <c r="M35" s="863" t="s">
        <v>65</v>
      </c>
      <c r="N35" s="864"/>
      <c r="O35" s="864"/>
      <c r="P35" s="864"/>
      <c r="Q35" s="864"/>
      <c r="R35" s="864"/>
      <c r="S35" s="864"/>
      <c r="T35" s="865"/>
      <c r="U35" s="4"/>
      <c r="V35" s="863" t="s">
        <v>52</v>
      </c>
      <c r="W35" s="864"/>
      <c r="X35" s="864"/>
      <c r="Y35" s="864"/>
      <c r="Z35" s="864"/>
      <c r="AA35" s="864"/>
      <c r="AB35" s="864"/>
      <c r="AC35" s="865"/>
    </row>
    <row r="36" spans="2:29" ht="15" customHeight="1" x14ac:dyDescent="0.2">
      <c r="B36" s="758"/>
      <c r="D36" s="857" t="s">
        <v>143</v>
      </c>
      <c r="E36" s="24" t="s">
        <v>4</v>
      </c>
      <c r="F36" s="25" t="s">
        <v>35</v>
      </c>
      <c r="G36" s="26" t="s">
        <v>5</v>
      </c>
      <c r="H36" s="25" t="s">
        <v>77</v>
      </c>
      <c r="I36" s="26" t="s">
        <v>31</v>
      </c>
      <c r="J36" s="26" t="s">
        <v>29</v>
      </c>
      <c r="K36" s="34" t="s">
        <v>32</v>
      </c>
      <c r="M36" s="857" t="s">
        <v>143</v>
      </c>
      <c r="N36" s="24" t="s">
        <v>4</v>
      </c>
      <c r="O36" s="25" t="s">
        <v>35</v>
      </c>
      <c r="P36" s="26" t="s">
        <v>5</v>
      </c>
      <c r="Q36" s="25" t="s">
        <v>6</v>
      </c>
      <c r="R36" s="26" t="s">
        <v>31</v>
      </c>
      <c r="S36" s="26" t="s">
        <v>29</v>
      </c>
      <c r="T36" s="34" t="s">
        <v>32</v>
      </c>
      <c r="U36" s="4"/>
      <c r="V36" s="857" t="s">
        <v>143</v>
      </c>
      <c r="W36" s="24" t="s">
        <v>4</v>
      </c>
      <c r="X36" s="25" t="s">
        <v>35</v>
      </c>
      <c r="Y36" s="26" t="s">
        <v>5</v>
      </c>
      <c r="Z36" s="25" t="s">
        <v>77</v>
      </c>
      <c r="AA36" s="26" t="s">
        <v>31</v>
      </c>
      <c r="AB36" s="26" t="s">
        <v>29</v>
      </c>
      <c r="AC36" s="34" t="s">
        <v>32</v>
      </c>
    </row>
    <row r="37" spans="2:29" ht="15" customHeight="1" x14ac:dyDescent="0.2">
      <c r="B37" s="758"/>
      <c r="D37" s="858"/>
      <c r="E37" s="39" t="s">
        <v>43</v>
      </c>
      <c r="F37" s="9" t="s">
        <v>75</v>
      </c>
      <c r="G37" s="40" t="s">
        <v>46</v>
      </c>
      <c r="H37" s="3">
        <f>(E9/$J$5)</f>
        <v>0.77777777777777779</v>
      </c>
      <c r="I37" s="64">
        <f>($J$6+$J$8)*H37</f>
        <v>1283.3333333333333</v>
      </c>
      <c r="J37" s="16">
        <f>((K21*J21)+(K22*J22))*H37</f>
        <v>63.7</v>
      </c>
      <c r="K37" s="8">
        <f>I37+J37</f>
        <v>1347.0333333333333</v>
      </c>
      <c r="M37" s="858"/>
      <c r="N37" s="39" t="s">
        <v>54</v>
      </c>
      <c r="O37" s="9" t="s">
        <v>115</v>
      </c>
      <c r="P37" s="40" t="s">
        <v>46</v>
      </c>
      <c r="Q37" s="3">
        <f>F9/K5</f>
        <v>0.77777777777777779</v>
      </c>
      <c r="R37" s="66">
        <f>($K$6+$K$8)*Q37</f>
        <v>1283.3333333333333</v>
      </c>
      <c r="S37" s="16">
        <f>((K21*J21)+(K22*J22))*Q37</f>
        <v>63.7</v>
      </c>
      <c r="T37" s="8">
        <f>R37+S37</f>
        <v>1347.0333333333333</v>
      </c>
      <c r="U37" s="4"/>
      <c r="V37" s="858"/>
      <c r="W37" s="39" t="s">
        <v>60</v>
      </c>
      <c r="X37" s="9" t="s">
        <v>116</v>
      </c>
      <c r="Y37" s="40" t="s">
        <v>46</v>
      </c>
      <c r="Z37" s="3">
        <f>G9/L5</f>
        <v>0</v>
      </c>
      <c r="AA37" s="64">
        <f>($L$6+$L$8)*Z37</f>
        <v>0</v>
      </c>
      <c r="AB37" s="16">
        <f>($K$19+$K$20)*Z37</f>
        <v>0</v>
      </c>
      <c r="AC37" s="8">
        <f>AA37+AB37</f>
        <v>0</v>
      </c>
    </row>
    <row r="38" spans="2:29" ht="15" customHeight="1" x14ac:dyDescent="0.2">
      <c r="B38" s="758"/>
      <c r="D38" s="858"/>
      <c r="E38" s="39" t="s">
        <v>42</v>
      </c>
      <c r="F38" s="9" t="s">
        <v>75</v>
      </c>
      <c r="G38" s="41" t="s">
        <v>8</v>
      </c>
      <c r="H38" s="45">
        <f>(E13/$J$5)</f>
        <v>0.94444444444444442</v>
      </c>
      <c r="I38" s="64">
        <f>($J$6+$J$8)*H38</f>
        <v>1558.3333333333333</v>
      </c>
      <c r="J38" s="16">
        <f>((K21*J21)+(K22*J22)+(K19*J19)+(K20*J20))*H38</f>
        <v>205.75666666666666</v>
      </c>
      <c r="K38" s="8">
        <f>I38+J38</f>
        <v>1764.09</v>
      </c>
      <c r="M38" s="858"/>
      <c r="N38" s="39" t="s">
        <v>157</v>
      </c>
      <c r="O38" s="9" t="s">
        <v>115</v>
      </c>
      <c r="P38" s="41" t="s">
        <v>8</v>
      </c>
      <c r="Q38" s="45">
        <f>F13/K5</f>
        <v>2.6666666666666665</v>
      </c>
      <c r="R38" s="66">
        <f>($K$6+$K$8)*Q38</f>
        <v>4400</v>
      </c>
      <c r="S38" s="16">
        <f>((K21*J21)+(K22*J22)+(K19*J19)+(K20*J20))*Q38</f>
        <v>580.96</v>
      </c>
      <c r="T38" s="8">
        <f t="shared" ref="T38:T41" si="0">R38+S38</f>
        <v>4980.96</v>
      </c>
      <c r="U38" s="787"/>
      <c r="V38" s="858"/>
      <c r="W38" s="39" t="s">
        <v>58</v>
      </c>
      <c r="X38" s="9" t="s">
        <v>116</v>
      </c>
      <c r="Y38" s="41" t="s">
        <v>8</v>
      </c>
      <c r="Z38" s="45">
        <f>G13/L5</f>
        <v>4.5999999999999996</v>
      </c>
      <c r="AA38" s="64">
        <f>($L$6+$L$8)*Z38</f>
        <v>6200.4166666666652</v>
      </c>
      <c r="AB38" s="16">
        <f>($K$19+$K$20)*Z38</f>
        <v>416.94399999999996</v>
      </c>
      <c r="AC38" s="8">
        <f t="shared" ref="AC38:AC41" si="1">AA38+AB38</f>
        <v>6617.3606666666656</v>
      </c>
    </row>
    <row r="39" spans="2:29" ht="15" customHeight="1" x14ac:dyDescent="0.2">
      <c r="B39" s="758"/>
      <c r="D39" s="858"/>
      <c r="E39" s="39" t="s">
        <v>21</v>
      </c>
      <c r="F39" s="9" t="s">
        <v>75</v>
      </c>
      <c r="G39" s="28" t="s">
        <v>10</v>
      </c>
      <c r="H39" s="45">
        <f>E17</f>
        <v>4</v>
      </c>
      <c r="I39" s="64">
        <f>($J$6+$J$8)*H39</f>
        <v>6600</v>
      </c>
      <c r="J39" s="16">
        <f>((K21*J21)+(K22*J22)+(K19*J19)+(K20*J20))*H39</f>
        <v>871.44</v>
      </c>
      <c r="K39" s="8">
        <f>I39+J39</f>
        <v>7471.4400000000005</v>
      </c>
      <c r="M39" s="858"/>
      <c r="N39" s="39" t="s">
        <v>21</v>
      </c>
      <c r="O39" s="9" t="s">
        <v>115</v>
      </c>
      <c r="P39" s="28" t="s">
        <v>10</v>
      </c>
      <c r="Q39" s="45">
        <f>E17</f>
        <v>4</v>
      </c>
      <c r="R39" s="66">
        <f>($K$6+$K$8)*Q39</f>
        <v>6600</v>
      </c>
      <c r="S39" s="16">
        <f>((K21*J21)+(K22*J22)+(K19*J19)+(K20*J20))*Q39</f>
        <v>871.44</v>
      </c>
      <c r="T39" s="8">
        <f t="shared" si="0"/>
        <v>7471.4400000000005</v>
      </c>
      <c r="U39" s="787"/>
      <c r="V39" s="858"/>
      <c r="W39" s="39" t="s">
        <v>21</v>
      </c>
      <c r="X39" s="9" t="s">
        <v>116</v>
      </c>
      <c r="Y39" s="28" t="s">
        <v>10</v>
      </c>
      <c r="Z39" s="45">
        <f>E17</f>
        <v>4</v>
      </c>
      <c r="AA39" s="64">
        <f>($L$6+$L$8)*Z39</f>
        <v>5391.6666666666661</v>
      </c>
      <c r="AB39" s="16">
        <f>($K$19+$K$20)*Z39</f>
        <v>362.56</v>
      </c>
      <c r="AC39" s="8">
        <f t="shared" si="1"/>
        <v>5754.2266666666665</v>
      </c>
    </row>
    <row r="40" spans="2:29" ht="15" customHeight="1" x14ac:dyDescent="0.2">
      <c r="B40" s="758"/>
      <c r="D40" s="858"/>
      <c r="E40" s="39" t="s">
        <v>45</v>
      </c>
      <c r="F40" s="9" t="s">
        <v>75</v>
      </c>
      <c r="G40" s="41" t="s">
        <v>8</v>
      </c>
      <c r="H40" s="45">
        <f>H38</f>
        <v>0.94444444444444442</v>
      </c>
      <c r="I40" s="64">
        <f>($J$6+$J$8)*H40</f>
        <v>1558.3333333333333</v>
      </c>
      <c r="J40" s="16">
        <f>((K21*J21)+(K22*J22)+(K19*J19)+(K20*J20))*H40</f>
        <v>205.75666666666666</v>
      </c>
      <c r="K40" s="8">
        <f>I40+J40</f>
        <v>1764.09</v>
      </c>
      <c r="M40" s="858"/>
      <c r="N40" s="39" t="s">
        <v>158</v>
      </c>
      <c r="O40" s="9" t="s">
        <v>115</v>
      </c>
      <c r="P40" s="41" t="s">
        <v>8</v>
      </c>
      <c r="Q40" s="45">
        <f>Q38</f>
        <v>2.6666666666666665</v>
      </c>
      <c r="R40" s="66">
        <f>($K$6+$K$8)*Q40</f>
        <v>4400</v>
      </c>
      <c r="S40" s="16">
        <f>((K21*J21)+(K22*J22)+(K19*J19)+(K20*J20))*Q40</f>
        <v>580.96</v>
      </c>
      <c r="T40" s="8">
        <f t="shared" si="0"/>
        <v>4980.96</v>
      </c>
      <c r="U40" s="787"/>
      <c r="V40" s="858"/>
      <c r="W40" s="39" t="s">
        <v>59</v>
      </c>
      <c r="X40" s="9" t="s">
        <v>116</v>
      </c>
      <c r="Y40" s="41" t="s">
        <v>8</v>
      </c>
      <c r="Z40" s="45">
        <f>Z38</f>
        <v>4.5999999999999996</v>
      </c>
      <c r="AA40" s="64">
        <f>($L$6+$L$8)*Z40</f>
        <v>6200.4166666666652</v>
      </c>
      <c r="AB40" s="16">
        <f>($K$19+$K$20)*Z40</f>
        <v>416.94399999999996</v>
      </c>
      <c r="AC40" s="8">
        <f t="shared" si="1"/>
        <v>6617.3606666666656</v>
      </c>
    </row>
    <row r="41" spans="2:29" ht="15" customHeight="1" x14ac:dyDescent="0.2">
      <c r="B41" s="758"/>
      <c r="D41" s="858"/>
      <c r="E41" s="39" t="s">
        <v>44</v>
      </c>
      <c r="F41" s="9" t="s">
        <v>75</v>
      </c>
      <c r="G41" s="27" t="s">
        <v>46</v>
      </c>
      <c r="H41" s="46">
        <f>H37</f>
        <v>0.77777777777777779</v>
      </c>
      <c r="I41" s="64">
        <f>($J$6+$J$8)*H41</f>
        <v>1283.3333333333333</v>
      </c>
      <c r="J41" s="16">
        <f>((K21*J21)+(K22*J22))*H41</f>
        <v>63.7</v>
      </c>
      <c r="K41" s="8">
        <f>I41+J41</f>
        <v>1347.0333333333333</v>
      </c>
      <c r="M41" s="858"/>
      <c r="N41" s="39" t="s">
        <v>57</v>
      </c>
      <c r="O41" s="9" t="s">
        <v>115</v>
      </c>
      <c r="P41" s="27" t="s">
        <v>46</v>
      </c>
      <c r="Q41" s="46">
        <f>Q37</f>
        <v>0.77777777777777779</v>
      </c>
      <c r="R41" s="66">
        <f>($K$6+$K$8)*Q41</f>
        <v>1283.3333333333333</v>
      </c>
      <c r="S41" s="16">
        <f>((K21*J21)+(K22*J22))*Q41</f>
        <v>63.7</v>
      </c>
      <c r="T41" s="8">
        <f t="shared" si="0"/>
        <v>1347.0333333333333</v>
      </c>
      <c r="U41" s="787"/>
      <c r="V41" s="858"/>
      <c r="W41" s="39" t="s">
        <v>61</v>
      </c>
      <c r="X41" s="9" t="s">
        <v>116</v>
      </c>
      <c r="Y41" s="27" t="s">
        <v>46</v>
      </c>
      <c r="Z41" s="46">
        <f>Z37</f>
        <v>0</v>
      </c>
      <c r="AA41" s="64">
        <f>($L$6+$L$8)*Z41</f>
        <v>0</v>
      </c>
      <c r="AB41" s="16">
        <f>($K$19+$K$20)*Z41</f>
        <v>0</v>
      </c>
      <c r="AC41" s="8">
        <f t="shared" si="1"/>
        <v>0</v>
      </c>
    </row>
    <row r="42" spans="2:29" x14ac:dyDescent="0.2">
      <c r="B42" s="758"/>
      <c r="D42" s="858"/>
      <c r="E42" s="39" t="s">
        <v>13</v>
      </c>
      <c r="F42" s="9" t="s">
        <v>75</v>
      </c>
      <c r="G42" s="27" t="s">
        <v>12</v>
      </c>
      <c r="H42" s="11" t="s">
        <v>9</v>
      </c>
      <c r="I42" s="9" t="s">
        <v>9</v>
      </c>
      <c r="J42" s="16" t="s">
        <v>9</v>
      </c>
      <c r="K42" s="7">
        <f>SUM(K37:K41)*$E$21</f>
        <v>1369.3686666666667</v>
      </c>
      <c r="M42" s="858"/>
      <c r="N42" s="39" t="s">
        <v>13</v>
      </c>
      <c r="O42" s="9" t="s">
        <v>115</v>
      </c>
      <c r="P42" s="27" t="s">
        <v>12</v>
      </c>
      <c r="Q42" s="11" t="s">
        <v>9</v>
      </c>
      <c r="R42" s="9" t="s">
        <v>9</v>
      </c>
      <c r="S42" s="16" t="s">
        <v>9</v>
      </c>
      <c r="T42" s="7">
        <f>SUM(T37:T41)*$E$21</f>
        <v>2012.7426666666668</v>
      </c>
      <c r="U42" s="787"/>
      <c r="V42" s="858"/>
      <c r="W42" s="39" t="s">
        <v>13</v>
      </c>
      <c r="X42" s="9" t="s">
        <v>116</v>
      </c>
      <c r="Y42" s="27" t="s">
        <v>12</v>
      </c>
      <c r="Z42" s="11" t="s">
        <v>9</v>
      </c>
      <c r="AA42" s="9" t="s">
        <v>9</v>
      </c>
      <c r="AB42" s="16" t="s">
        <v>9</v>
      </c>
      <c r="AC42" s="7">
        <f>SUM(AC37:AC41)*$E$21</f>
        <v>1898.8947999999998</v>
      </c>
    </row>
    <row r="43" spans="2:29" ht="16" customHeight="1" thickBot="1" x14ac:dyDescent="0.25">
      <c r="B43" s="758"/>
      <c r="D43" s="859"/>
      <c r="E43" s="42"/>
      <c r="F43" s="42"/>
      <c r="G43" s="29"/>
      <c r="H43" s="29"/>
      <c r="I43" s="901" t="s">
        <v>159</v>
      </c>
      <c r="J43" s="901"/>
      <c r="K43" s="37">
        <f>SUM(K37:K42)</f>
        <v>15063.055333333334</v>
      </c>
      <c r="L43" s="4"/>
      <c r="M43" s="859"/>
      <c r="N43" s="42"/>
      <c r="O43" s="42"/>
      <c r="P43" s="29"/>
      <c r="Q43" s="29"/>
      <c r="R43" s="29"/>
      <c r="S43" s="43" t="s">
        <v>159</v>
      </c>
      <c r="T43" s="37">
        <f>SUM(T37:T42)</f>
        <v>22140.169333333331</v>
      </c>
      <c r="U43" s="787"/>
      <c r="V43" s="859"/>
      <c r="W43" s="42"/>
      <c r="X43" s="42"/>
      <c r="Y43" s="29"/>
      <c r="Z43" s="29"/>
      <c r="AA43" s="29"/>
      <c r="AB43" s="43" t="s">
        <v>159</v>
      </c>
      <c r="AC43" s="37">
        <f>SUM(AC37:AC42)</f>
        <v>20887.842799999995</v>
      </c>
    </row>
    <row r="44" spans="2:29" ht="16" customHeight="1" thickBot="1" x14ac:dyDescent="0.25">
      <c r="B44" s="758"/>
      <c r="D44" s="68"/>
      <c r="E44" s="69"/>
      <c r="F44" s="69"/>
      <c r="G44" s="21"/>
      <c r="H44" s="21"/>
      <c r="I44" s="70"/>
      <c r="J44" s="70"/>
      <c r="K44" s="13"/>
      <c r="L44" s="4"/>
      <c r="M44" s="68"/>
      <c r="N44" s="69"/>
      <c r="O44" s="69"/>
      <c r="P44" s="21"/>
      <c r="Q44" s="21"/>
      <c r="R44" s="21"/>
      <c r="S44" s="70"/>
      <c r="T44" s="13"/>
      <c r="U44" s="787"/>
      <c r="V44" s="68"/>
      <c r="W44" s="69"/>
      <c r="X44" s="69"/>
      <c r="Y44" s="21"/>
      <c r="Z44" s="21"/>
      <c r="AA44" s="21"/>
      <c r="AB44" s="70"/>
      <c r="AC44" s="13"/>
    </row>
    <row r="45" spans="2:29" ht="15" customHeight="1" x14ac:dyDescent="0.2">
      <c r="B45" s="758"/>
      <c r="D45" s="860" t="s">
        <v>144</v>
      </c>
      <c r="E45" s="72" t="s">
        <v>4</v>
      </c>
      <c r="F45" s="72" t="s">
        <v>35</v>
      </c>
      <c r="G45" s="75" t="s">
        <v>5</v>
      </c>
      <c r="H45" s="72" t="s">
        <v>77</v>
      </c>
      <c r="I45" s="72" t="s">
        <v>31</v>
      </c>
      <c r="J45" s="72" t="s">
        <v>29</v>
      </c>
      <c r="K45" s="76" t="s">
        <v>32</v>
      </c>
      <c r="L45" s="5"/>
      <c r="M45" s="860" t="s">
        <v>144</v>
      </c>
      <c r="N45" s="72" t="s">
        <v>4</v>
      </c>
      <c r="O45" s="72" t="s">
        <v>35</v>
      </c>
      <c r="P45" s="75" t="s">
        <v>5</v>
      </c>
      <c r="Q45" s="72" t="s">
        <v>6</v>
      </c>
      <c r="R45" s="72" t="s">
        <v>31</v>
      </c>
      <c r="S45" s="75" t="s">
        <v>29</v>
      </c>
      <c r="T45" s="76" t="s">
        <v>32</v>
      </c>
      <c r="U45" s="787"/>
      <c r="V45" s="860" t="s">
        <v>144</v>
      </c>
      <c r="W45" s="78" t="s">
        <v>4</v>
      </c>
      <c r="X45" s="72" t="s">
        <v>35</v>
      </c>
      <c r="Y45" s="75" t="s">
        <v>5</v>
      </c>
      <c r="Z45" s="72" t="s">
        <v>77</v>
      </c>
      <c r="AA45" s="72" t="s">
        <v>31</v>
      </c>
      <c r="AB45" s="75" t="s">
        <v>29</v>
      </c>
      <c r="AC45" s="76" t="s">
        <v>32</v>
      </c>
    </row>
    <row r="46" spans="2:29" x14ac:dyDescent="0.2">
      <c r="B46" s="758"/>
      <c r="D46" s="861"/>
      <c r="E46" s="39" t="s">
        <v>43</v>
      </c>
      <c r="F46" s="9" t="s">
        <v>75</v>
      </c>
      <c r="G46" s="27" t="s">
        <v>46</v>
      </c>
      <c r="H46" s="3">
        <f>H37</f>
        <v>0.77777777777777779</v>
      </c>
      <c r="I46" s="64">
        <f>($J$6+$J$8)*H46</f>
        <v>1283.3333333333333</v>
      </c>
      <c r="J46" s="16">
        <f>((K21*J21)+(K22*J22))*H46</f>
        <v>63.7</v>
      </c>
      <c r="K46" s="7">
        <f>I46+J46</f>
        <v>1347.0333333333333</v>
      </c>
      <c r="L46" s="18"/>
      <c r="M46" s="861"/>
      <c r="N46" s="39" t="s">
        <v>54</v>
      </c>
      <c r="O46" s="9" t="s">
        <v>115</v>
      </c>
      <c r="P46" s="27" t="s">
        <v>46</v>
      </c>
      <c r="Q46" s="3">
        <f>(F9/$K$5)</f>
        <v>0.77777777777777779</v>
      </c>
      <c r="R46" s="64">
        <f>($K$6+$K$8)*Q46</f>
        <v>1283.3333333333333</v>
      </c>
      <c r="S46" s="16">
        <f>((K21*J21)+(K22*J22))*Q46</f>
        <v>63.7</v>
      </c>
      <c r="T46" s="7">
        <f>R46+S46</f>
        <v>1347.0333333333333</v>
      </c>
      <c r="U46" s="787"/>
      <c r="V46" s="861"/>
      <c r="W46" s="39" t="s">
        <v>60</v>
      </c>
      <c r="X46" s="9" t="s">
        <v>116</v>
      </c>
      <c r="Y46" s="27" t="s">
        <v>46</v>
      </c>
      <c r="Z46" s="3">
        <f>G9/L5</f>
        <v>0</v>
      </c>
      <c r="AA46" s="64">
        <f>($L$6+$L$8)*Z46</f>
        <v>0</v>
      </c>
      <c r="AB46" s="16">
        <f>((K25*J25)+(K26*J26))*Z46</f>
        <v>0</v>
      </c>
      <c r="AC46" s="7">
        <f>AA46+AB46</f>
        <v>0</v>
      </c>
    </row>
    <row r="47" spans="2:29" x14ac:dyDescent="0.2">
      <c r="B47" s="758"/>
      <c r="D47" s="861"/>
      <c r="E47" s="39" t="s">
        <v>42</v>
      </c>
      <c r="F47" s="9" t="s">
        <v>75</v>
      </c>
      <c r="G47" s="28" t="s">
        <v>8</v>
      </c>
      <c r="H47" s="45">
        <f>H38</f>
        <v>0.94444444444444442</v>
      </c>
      <c r="I47" s="64">
        <f>($J$6+$J$8)*H47</f>
        <v>1558.3333333333333</v>
      </c>
      <c r="J47" s="16">
        <f>((K21*J21)+(K22*J22)+(K19*J19)+(K20*J20))*H47</f>
        <v>205.75666666666666</v>
      </c>
      <c r="K47" s="7">
        <f t="shared" ref="K47:K53" si="2">I47+J47</f>
        <v>1764.09</v>
      </c>
      <c r="L47" s="18"/>
      <c r="M47" s="861"/>
      <c r="N47" s="39" t="s">
        <v>157</v>
      </c>
      <c r="O47" s="9" t="s">
        <v>115</v>
      </c>
      <c r="P47" s="28" t="s">
        <v>8</v>
      </c>
      <c r="Q47" s="45">
        <f>(F13/$K$5)</f>
        <v>2.6666666666666665</v>
      </c>
      <c r="R47" s="64">
        <f>($K$6+$K$8)*Q47</f>
        <v>4400</v>
      </c>
      <c r="S47" s="16">
        <f>((K21*J21)+(K22*J22)+(K19*J19)+(K20*J20))*Q47</f>
        <v>580.96</v>
      </c>
      <c r="T47" s="7">
        <f t="shared" ref="T47:T54" si="3">R47+S47</f>
        <v>4980.96</v>
      </c>
      <c r="U47" s="38"/>
      <c r="V47" s="861"/>
      <c r="W47" s="39" t="s">
        <v>58</v>
      </c>
      <c r="X47" s="9" t="s">
        <v>116</v>
      </c>
      <c r="Y47" s="28" t="s">
        <v>8</v>
      </c>
      <c r="Z47" s="45">
        <f>(G13/$K$5)</f>
        <v>2.5555555555555554</v>
      </c>
      <c r="AA47" s="64">
        <f>($L$6+$L$8)*Z47</f>
        <v>3444.6759259259252</v>
      </c>
      <c r="AB47" s="16">
        <f>((K25*J25)+(K26*J26)+(K23*J23)+(K24*J24))*Z47</f>
        <v>555.57777777777767</v>
      </c>
      <c r="AC47" s="7">
        <f t="shared" ref="AC47:AC54" si="4">AA47+AB47</f>
        <v>4000.2537037037027</v>
      </c>
    </row>
    <row r="48" spans="2:29" x14ac:dyDescent="0.2">
      <c r="B48" s="758"/>
      <c r="D48" s="861"/>
      <c r="E48" s="39" t="s">
        <v>67</v>
      </c>
      <c r="F48" s="9" t="s">
        <v>75</v>
      </c>
      <c r="G48" s="28" t="s">
        <v>10</v>
      </c>
      <c r="H48" s="45">
        <f>E18</f>
        <v>1</v>
      </c>
      <c r="I48" s="64">
        <f>($J$6+$J$8)*H48</f>
        <v>1650</v>
      </c>
      <c r="J48" s="16">
        <f>((K21*J21)+(K22*J22)+(K19*J19)+(K20*J20))*H48</f>
        <v>217.86</v>
      </c>
      <c r="K48" s="7">
        <f t="shared" si="2"/>
        <v>1867.8600000000001</v>
      </c>
      <c r="L48" s="18"/>
      <c r="M48" s="861"/>
      <c r="N48" s="39" t="s">
        <v>67</v>
      </c>
      <c r="O48" s="9" t="s">
        <v>115</v>
      </c>
      <c r="P48" s="28" t="s">
        <v>10</v>
      </c>
      <c r="Q48" s="45">
        <f>E18</f>
        <v>1</v>
      </c>
      <c r="R48" s="64">
        <f>($K$6+$K$8)*Q48</f>
        <v>1650</v>
      </c>
      <c r="S48" s="16">
        <f>((K21*J21)+(K22*J22)+(K19*J19)+(K20*J20))*Q48</f>
        <v>217.86</v>
      </c>
      <c r="T48" s="7">
        <f t="shared" si="3"/>
        <v>1867.8600000000001</v>
      </c>
      <c r="U48" s="38"/>
      <c r="V48" s="861"/>
      <c r="W48" s="39" t="s">
        <v>67</v>
      </c>
      <c r="X48" s="9" t="s">
        <v>116</v>
      </c>
      <c r="Y48" s="28" t="s">
        <v>10</v>
      </c>
      <c r="Z48" s="45">
        <f>E18</f>
        <v>1</v>
      </c>
      <c r="AA48" s="64">
        <f>($L$6+$L$8)*Z48</f>
        <v>1347.9166666666665</v>
      </c>
      <c r="AB48" s="16">
        <f>((K25*J25)+(K26*J26)+(K23*J23)+(K24*J24))*Z48</f>
        <v>217.39999999999998</v>
      </c>
      <c r="AC48" s="7">
        <f t="shared" si="4"/>
        <v>1565.3166666666666</v>
      </c>
    </row>
    <row r="49" spans="2:29" x14ac:dyDescent="0.2">
      <c r="B49" s="758"/>
      <c r="D49" s="861"/>
      <c r="E49" s="39" t="s">
        <v>45</v>
      </c>
      <c r="F49" s="9" t="s">
        <v>75</v>
      </c>
      <c r="G49" s="28" t="s">
        <v>8</v>
      </c>
      <c r="H49" s="45">
        <f>H47</f>
        <v>0.94444444444444442</v>
      </c>
      <c r="I49" s="64">
        <f>($J$6+$J$8)*H49</f>
        <v>1558.3333333333333</v>
      </c>
      <c r="J49" s="16">
        <f>((K21*J21)+(K22*J22)+(K19*J19)+(K20*J20))*H49</f>
        <v>205.75666666666666</v>
      </c>
      <c r="K49" s="7">
        <f>I49+J49</f>
        <v>1764.09</v>
      </c>
      <c r="L49" s="18"/>
      <c r="M49" s="861"/>
      <c r="N49" s="39" t="s">
        <v>158</v>
      </c>
      <c r="O49" s="9" t="s">
        <v>115</v>
      </c>
      <c r="P49" s="28" t="s">
        <v>8</v>
      </c>
      <c r="Q49" s="45">
        <f>Q47</f>
        <v>2.6666666666666665</v>
      </c>
      <c r="R49" s="64">
        <f>($K$6+$K$8)*Q49</f>
        <v>4400</v>
      </c>
      <c r="S49" s="16">
        <f>((K21*J21)+(K22*J22)+(K19*J19)+(K20*J20))*Q49</f>
        <v>580.96</v>
      </c>
      <c r="T49" s="7">
        <f t="shared" si="3"/>
        <v>4980.96</v>
      </c>
      <c r="U49" s="38"/>
      <c r="V49" s="861"/>
      <c r="W49" s="39" t="s">
        <v>70</v>
      </c>
      <c r="X49" s="9" t="s">
        <v>116</v>
      </c>
      <c r="Y49" s="28" t="s">
        <v>8</v>
      </c>
      <c r="Z49" s="45">
        <f>Z47</f>
        <v>2.5555555555555554</v>
      </c>
      <c r="AA49" s="64">
        <f>($L$6+$L$8)*Z49</f>
        <v>3444.6759259259252</v>
      </c>
      <c r="AB49" s="16">
        <f>((K25*J25)+(K26*J26)+(K23*J23)+(K24*J24))*Z49</f>
        <v>555.57777777777767</v>
      </c>
      <c r="AC49" s="7">
        <f t="shared" si="4"/>
        <v>4000.2537037037027</v>
      </c>
    </row>
    <row r="50" spans="2:29" x14ac:dyDescent="0.2">
      <c r="B50" s="758"/>
      <c r="D50" s="861"/>
      <c r="E50" s="39" t="s">
        <v>68</v>
      </c>
      <c r="F50" s="9" t="s">
        <v>75</v>
      </c>
      <c r="G50" s="28" t="s">
        <v>12</v>
      </c>
      <c r="H50" s="45">
        <f>E19</f>
        <v>16</v>
      </c>
      <c r="I50" s="64">
        <v>0</v>
      </c>
      <c r="J50" s="16">
        <f>(($K$19*J19)+($K$20*J20))*H50</f>
        <v>2175.36</v>
      </c>
      <c r="K50" s="7">
        <f>I50+J50</f>
        <v>2175.36</v>
      </c>
      <c r="L50" s="18"/>
      <c r="M50" s="861"/>
      <c r="N50" s="39" t="s">
        <v>68</v>
      </c>
      <c r="O50" s="9" t="s">
        <v>115</v>
      </c>
      <c r="P50" s="28" t="s">
        <v>12</v>
      </c>
      <c r="Q50" s="45">
        <f>E19</f>
        <v>16</v>
      </c>
      <c r="R50" s="64">
        <v>0</v>
      </c>
      <c r="S50" s="16">
        <f>(($K$19*J19)+($K$20*J20))*Q50</f>
        <v>2175.36</v>
      </c>
      <c r="T50" s="7">
        <f t="shared" si="3"/>
        <v>2175.36</v>
      </c>
      <c r="U50" s="38"/>
      <c r="V50" s="861"/>
      <c r="W50" s="39" t="s">
        <v>68</v>
      </c>
      <c r="X50" s="9" t="s">
        <v>116</v>
      </c>
      <c r="Y50" s="28" t="s">
        <v>12</v>
      </c>
      <c r="Z50" s="45">
        <f>E19</f>
        <v>16</v>
      </c>
      <c r="AA50" s="64">
        <v>0</v>
      </c>
      <c r="AB50" s="16">
        <f>(($K$23*J23)+($K$24*J24))*Z50</f>
        <v>2218.56</v>
      </c>
      <c r="AC50" s="7">
        <f t="shared" si="4"/>
        <v>2218.56</v>
      </c>
    </row>
    <row r="51" spans="2:29" x14ac:dyDescent="0.2">
      <c r="B51" s="758"/>
      <c r="D51" s="861"/>
      <c r="E51" s="39" t="s">
        <v>42</v>
      </c>
      <c r="F51" s="9" t="s">
        <v>75</v>
      </c>
      <c r="G51" s="28" t="s">
        <v>8</v>
      </c>
      <c r="H51" s="45">
        <f>H47</f>
        <v>0.94444444444444442</v>
      </c>
      <c r="I51" s="64">
        <f>($J$6+$J$8)*H51</f>
        <v>1558.3333333333333</v>
      </c>
      <c r="J51" s="16">
        <f>((K21*J21)+(K22*J22)+(K19*J19)+(K20*J20))*H51</f>
        <v>205.75666666666666</v>
      </c>
      <c r="K51" s="7">
        <f>I51+J51</f>
        <v>1764.09</v>
      </c>
      <c r="L51" s="18"/>
      <c r="M51" s="861"/>
      <c r="N51" s="39" t="s">
        <v>157</v>
      </c>
      <c r="O51" s="9" t="s">
        <v>115</v>
      </c>
      <c r="P51" s="28" t="s">
        <v>8</v>
      </c>
      <c r="Q51" s="45">
        <f>Q47</f>
        <v>2.6666666666666665</v>
      </c>
      <c r="R51" s="64">
        <f>($K$6+$K$8)*Q51</f>
        <v>4400</v>
      </c>
      <c r="S51" s="16">
        <f>((K21*J21)+(K22*J22)+(K19*J19)+(K20*J20))*Q51</f>
        <v>580.96</v>
      </c>
      <c r="T51" s="7">
        <f>R51+S51</f>
        <v>4980.96</v>
      </c>
      <c r="U51" s="38"/>
      <c r="V51" s="861"/>
      <c r="W51" s="39" t="s">
        <v>58</v>
      </c>
      <c r="X51" s="9" t="s">
        <v>116</v>
      </c>
      <c r="Y51" s="28" t="s">
        <v>8</v>
      </c>
      <c r="Z51" s="45">
        <f>Z47</f>
        <v>2.5555555555555554</v>
      </c>
      <c r="AA51" s="64">
        <f>($L$6+$L$8)*Z51</f>
        <v>3444.6759259259252</v>
      </c>
      <c r="AB51" s="16">
        <f>((K25*J25)+(K26*J26)+(K23*J23)+(K24*J24))*Z51</f>
        <v>555.57777777777767</v>
      </c>
      <c r="AC51" s="7">
        <f t="shared" si="4"/>
        <v>4000.2537037037027</v>
      </c>
    </row>
    <row r="52" spans="2:29" x14ac:dyDescent="0.2">
      <c r="B52" s="758"/>
      <c r="D52" s="861"/>
      <c r="E52" s="39" t="s">
        <v>69</v>
      </c>
      <c r="F52" s="9" t="s">
        <v>75</v>
      </c>
      <c r="G52" s="28" t="s">
        <v>10</v>
      </c>
      <c r="H52" s="45">
        <f>E20</f>
        <v>2</v>
      </c>
      <c r="I52" s="64">
        <f>($J$6+$J$8)*H52</f>
        <v>3300</v>
      </c>
      <c r="J52" s="16">
        <f>((K21*J21)+(K22*J22)+(K19*J19)+(K20*J20))*H52</f>
        <v>435.72</v>
      </c>
      <c r="K52" s="7">
        <f t="shared" si="2"/>
        <v>3735.7200000000003</v>
      </c>
      <c r="L52" s="18"/>
      <c r="M52" s="861"/>
      <c r="N52" s="39" t="s">
        <v>69</v>
      </c>
      <c r="O52" s="9" t="s">
        <v>115</v>
      </c>
      <c r="P52" s="28" t="s">
        <v>10</v>
      </c>
      <c r="Q52" s="45">
        <f>E20</f>
        <v>2</v>
      </c>
      <c r="R52" s="64">
        <f>($K$6+$K$8)*Q52</f>
        <v>3300</v>
      </c>
      <c r="S52" s="16">
        <f>((K21*J21)+(K22*J22)+(K19*J19)+(K20*J20))*Q52</f>
        <v>435.72</v>
      </c>
      <c r="T52" s="7">
        <f t="shared" si="3"/>
        <v>3735.7200000000003</v>
      </c>
      <c r="U52" s="38"/>
      <c r="V52" s="861"/>
      <c r="W52" s="39" t="s">
        <v>69</v>
      </c>
      <c r="X52" s="9" t="s">
        <v>116</v>
      </c>
      <c r="Y52" s="28" t="s">
        <v>10</v>
      </c>
      <c r="Z52" s="45">
        <f>E20</f>
        <v>2</v>
      </c>
      <c r="AA52" s="64">
        <f>($L$6+$L$8)*Z52</f>
        <v>2695.833333333333</v>
      </c>
      <c r="AB52" s="16">
        <f>((K25*J25)+(K26*J26)+(K23*J23)+(K24*J24))*Z52</f>
        <v>434.79999999999995</v>
      </c>
      <c r="AC52" s="7">
        <f t="shared" si="4"/>
        <v>3130.6333333333332</v>
      </c>
    </row>
    <row r="53" spans="2:29" x14ac:dyDescent="0.2">
      <c r="B53" s="758"/>
      <c r="D53" s="861"/>
      <c r="E53" s="39" t="s">
        <v>45</v>
      </c>
      <c r="F53" s="9" t="s">
        <v>75</v>
      </c>
      <c r="G53" s="28" t="s">
        <v>8</v>
      </c>
      <c r="H53" s="45">
        <f>H47</f>
        <v>0.94444444444444442</v>
      </c>
      <c r="I53" s="64">
        <f>($J$6+$J$8)*H53</f>
        <v>1558.3333333333333</v>
      </c>
      <c r="J53" s="16">
        <f>((K21*J21)+(K22*J22)+(K19*J19)+(K20*J20))*H53</f>
        <v>205.75666666666666</v>
      </c>
      <c r="K53" s="7">
        <f t="shared" si="2"/>
        <v>1764.09</v>
      </c>
      <c r="L53" s="18"/>
      <c r="M53" s="861"/>
      <c r="N53" s="39" t="s">
        <v>158</v>
      </c>
      <c r="O53" s="9" t="s">
        <v>115</v>
      </c>
      <c r="P53" s="28" t="s">
        <v>8</v>
      </c>
      <c r="Q53" s="45">
        <f>Q47</f>
        <v>2.6666666666666665</v>
      </c>
      <c r="R53" s="64">
        <f>($K$6+$K$8)*Q53</f>
        <v>4400</v>
      </c>
      <c r="S53" s="16">
        <f>((K21*J21)+(K22*J22)+(K19*J19)+(K20*J20))*Q53</f>
        <v>580.96</v>
      </c>
      <c r="T53" s="7">
        <f t="shared" si="3"/>
        <v>4980.96</v>
      </c>
      <c r="U53" s="38"/>
      <c r="V53" s="861"/>
      <c r="W53" s="39" t="s">
        <v>70</v>
      </c>
      <c r="X53" s="9" t="s">
        <v>116</v>
      </c>
      <c r="Y53" s="28" t="s">
        <v>8</v>
      </c>
      <c r="Z53" s="45">
        <f>Z47</f>
        <v>2.5555555555555554</v>
      </c>
      <c r="AA53" s="64">
        <f>($L$6+$L$8)*Z53</f>
        <v>3444.6759259259252</v>
      </c>
      <c r="AB53" s="16">
        <f>($K$19+$K$20)*Z53</f>
        <v>231.63555555555553</v>
      </c>
      <c r="AC53" s="7">
        <f t="shared" si="4"/>
        <v>3676.3114814814808</v>
      </c>
    </row>
    <row r="54" spans="2:29" ht="15" customHeight="1" x14ac:dyDescent="0.2">
      <c r="B54" s="758"/>
      <c r="D54" s="861"/>
      <c r="E54" s="39" t="s">
        <v>44</v>
      </c>
      <c r="F54" s="9" t="s">
        <v>75</v>
      </c>
      <c r="G54" s="28" t="s">
        <v>46</v>
      </c>
      <c r="H54" s="45">
        <f>H46</f>
        <v>0.77777777777777779</v>
      </c>
      <c r="I54" s="64">
        <f>($J$6+$J$8)*H54</f>
        <v>1283.3333333333333</v>
      </c>
      <c r="J54" s="16">
        <f>((K21*J21)+(K22*J22))*H54</f>
        <v>63.7</v>
      </c>
      <c r="K54" s="7">
        <f>I54+J54</f>
        <v>1347.0333333333333</v>
      </c>
      <c r="L54" s="18"/>
      <c r="M54" s="861"/>
      <c r="N54" s="39" t="s">
        <v>57</v>
      </c>
      <c r="O54" s="9" t="s">
        <v>115</v>
      </c>
      <c r="P54" s="28" t="s">
        <v>46</v>
      </c>
      <c r="Q54" s="45">
        <f>Q46</f>
        <v>0.77777777777777779</v>
      </c>
      <c r="R54" s="64">
        <f>($K$6+$K$8)*Q54</f>
        <v>1283.3333333333333</v>
      </c>
      <c r="S54" s="16">
        <f>((K21*J21)+(K22*J22))*Q54</f>
        <v>63.7</v>
      </c>
      <c r="T54" s="7">
        <f t="shared" si="3"/>
        <v>1347.0333333333333</v>
      </c>
      <c r="U54" s="38"/>
      <c r="V54" s="861"/>
      <c r="W54" s="39" t="s">
        <v>61</v>
      </c>
      <c r="X54" s="9" t="s">
        <v>116</v>
      </c>
      <c r="Y54" s="28" t="s">
        <v>46</v>
      </c>
      <c r="Z54" s="45">
        <f>Z46</f>
        <v>0</v>
      </c>
      <c r="AA54" s="64">
        <f>($L$6+$L$8)*Z54</f>
        <v>0</v>
      </c>
      <c r="AB54" s="16">
        <f>((K25*J25)+(K26*J26)+(K23*J23)+(K24*J24))*Z54</f>
        <v>0</v>
      </c>
      <c r="AC54" s="7">
        <f t="shared" si="4"/>
        <v>0</v>
      </c>
    </row>
    <row r="55" spans="2:29" ht="15" customHeight="1" x14ac:dyDescent="0.2">
      <c r="B55" s="758"/>
      <c r="D55" s="861"/>
      <c r="E55" s="39" t="s">
        <v>13</v>
      </c>
      <c r="F55" s="9" t="s">
        <v>75</v>
      </c>
      <c r="G55" s="27" t="s">
        <v>12</v>
      </c>
      <c r="H55" s="11" t="s">
        <v>9</v>
      </c>
      <c r="I55" s="9" t="s">
        <v>9</v>
      </c>
      <c r="J55" s="16" t="s">
        <v>9</v>
      </c>
      <c r="K55" s="7">
        <f>SUM(K46:K54)*$E$21</f>
        <v>1752.936666666667</v>
      </c>
      <c r="L55" s="18"/>
      <c r="M55" s="861"/>
      <c r="N55" s="39" t="s">
        <v>13</v>
      </c>
      <c r="O55" s="9" t="s">
        <v>115</v>
      </c>
      <c r="P55" s="27" t="s">
        <v>12</v>
      </c>
      <c r="Q55" s="11" t="s">
        <v>9</v>
      </c>
      <c r="R55" s="9" t="s">
        <v>9</v>
      </c>
      <c r="S55" s="16" t="s">
        <v>9</v>
      </c>
      <c r="T55" s="7">
        <f>SUM(T46:T54)*$E$21</f>
        <v>3039.684666666667</v>
      </c>
      <c r="U55" s="38"/>
      <c r="V55" s="861"/>
      <c r="W55" s="39" t="s">
        <v>13</v>
      </c>
      <c r="X55" s="9" t="s">
        <v>116</v>
      </c>
      <c r="Y55" s="27" t="s">
        <v>12</v>
      </c>
      <c r="Z55" s="11" t="s">
        <v>9</v>
      </c>
      <c r="AA55" s="9" t="s">
        <v>9</v>
      </c>
      <c r="AB55" s="16" t="s">
        <v>9</v>
      </c>
      <c r="AC55" s="7">
        <f>SUM(AC46:AC54)*$E$21</f>
        <v>2259.1582592592586</v>
      </c>
    </row>
    <row r="56" spans="2:29" ht="16" thickBot="1" x14ac:dyDescent="0.25">
      <c r="B56" s="759"/>
      <c r="D56" s="862"/>
      <c r="E56" s="42"/>
      <c r="F56" s="42"/>
      <c r="G56" s="42"/>
      <c r="H56" s="29"/>
      <c r="I56" s="901" t="s">
        <v>160</v>
      </c>
      <c r="J56" s="901"/>
      <c r="K56" s="37">
        <f>SUM(K46:K55)</f>
        <v>19282.303333333337</v>
      </c>
      <c r="M56" s="862"/>
      <c r="N56" s="42"/>
      <c r="O56" s="42"/>
      <c r="P56" s="42"/>
      <c r="Q56" s="29"/>
      <c r="R56" s="29"/>
      <c r="S56" s="67" t="s">
        <v>160</v>
      </c>
      <c r="T56" s="37">
        <f>SUM(T46:T55)</f>
        <v>33436.531333333332</v>
      </c>
      <c r="U56" s="38"/>
      <c r="V56" s="862"/>
      <c r="W56" s="42"/>
      <c r="X56" s="42"/>
      <c r="Y56" s="42"/>
      <c r="Z56" s="29"/>
      <c r="AA56" s="29"/>
      <c r="AB56" s="43" t="s">
        <v>160</v>
      </c>
      <c r="AC56" s="37">
        <f>SUM(AC46:AC55)</f>
        <v>24850.740851851842</v>
      </c>
    </row>
    <row r="57" spans="2:29" ht="15" customHeight="1" x14ac:dyDescent="0.2">
      <c r="L57" s="13"/>
    </row>
    <row r="58" spans="2:29" x14ac:dyDescent="0.2">
      <c r="L58" s="19"/>
    </row>
    <row r="59" spans="2:29" ht="16" thickBot="1" x14ac:dyDescent="0.25">
      <c r="L59" s="19"/>
    </row>
    <row r="60" spans="2:29" ht="19" customHeight="1" x14ac:dyDescent="0.2">
      <c r="B60" s="757" t="s">
        <v>26</v>
      </c>
      <c r="D60" s="852" t="s">
        <v>948</v>
      </c>
      <c r="E60" s="854"/>
      <c r="F60" s="843"/>
      <c r="G60" s="843"/>
      <c r="H60" s="843"/>
      <c r="I60" s="843"/>
      <c r="L60" s="19"/>
    </row>
    <row r="61" spans="2:29" ht="21" customHeight="1" thickBot="1" x14ac:dyDescent="0.25">
      <c r="B61" s="758"/>
      <c r="D61" s="834" t="s">
        <v>943</v>
      </c>
      <c r="E61" s="836"/>
      <c r="F61" s="843"/>
      <c r="G61" s="843"/>
      <c r="H61" s="843"/>
      <c r="I61" s="843"/>
      <c r="L61" s="19"/>
    </row>
    <row r="62" spans="2:29" ht="21" customHeight="1" x14ac:dyDescent="0.2">
      <c r="B62" s="758"/>
      <c r="D62" s="491" t="s">
        <v>62</v>
      </c>
      <c r="E62" s="492" t="s">
        <v>212</v>
      </c>
      <c r="F62" s="232"/>
      <c r="G62" s="232"/>
      <c r="H62" s="232"/>
      <c r="I62" s="232"/>
      <c r="L62" s="19"/>
    </row>
    <row r="63" spans="2:29" ht="25" customHeight="1" x14ac:dyDescent="0.2">
      <c r="B63" s="758"/>
      <c r="D63" s="509" t="s">
        <v>927</v>
      </c>
      <c r="E63" s="196">
        <f>(K43*MAX(E26,E30))+(K56*MAX(E27,E31))</f>
        <v>98816.828000000009</v>
      </c>
      <c r="F63" s="232"/>
      <c r="L63" s="19"/>
    </row>
    <row r="64" spans="2:29" ht="19" x14ac:dyDescent="0.2">
      <c r="B64" s="758"/>
      <c r="D64" s="489" t="s">
        <v>929</v>
      </c>
      <c r="E64" s="196">
        <f>(T43*MAX(E26,E30))+(T56*MAX(E27,E31))</f>
        <v>155433.74</v>
      </c>
      <c r="F64" s="187"/>
    </row>
    <row r="65" spans="2:5" ht="40" x14ac:dyDescent="0.2">
      <c r="B65" s="758"/>
      <c r="D65" s="509" t="s">
        <v>930</v>
      </c>
      <c r="E65" s="196">
        <f>(AC43*MAX(E26,E30))+(AC56*MAX(E27,E31))</f>
        <v>133252.85290370366</v>
      </c>
    </row>
    <row r="66" spans="2:5" ht="20" x14ac:dyDescent="0.2">
      <c r="B66" s="758"/>
      <c r="D66" s="509" t="s">
        <v>923</v>
      </c>
      <c r="E66" s="196">
        <f>(K43*MAX(E26,E28))+(K56*MAX(E27,E29))</f>
        <v>98816.828000000009</v>
      </c>
    </row>
    <row r="67" spans="2:5" ht="15" customHeight="1" x14ac:dyDescent="0.2">
      <c r="B67" s="758"/>
      <c r="D67" s="489" t="s">
        <v>924</v>
      </c>
      <c r="E67" s="196">
        <f>(T43*MAX(E26,E28))+(T56*MAX(E27,E29))</f>
        <v>155433.74</v>
      </c>
    </row>
    <row r="68" spans="2:5" ht="21" thickBot="1" x14ac:dyDescent="0.25">
      <c r="B68" s="759"/>
      <c r="D68" s="490" t="s">
        <v>926</v>
      </c>
      <c r="E68" s="197">
        <f>(AC43*MAX(E26,E28))+(AC56*MAX(E27,E29))</f>
        <v>133252.85290370366</v>
      </c>
    </row>
    <row r="69" spans="2:5" x14ac:dyDescent="0.2">
      <c r="B69" s="12"/>
    </row>
    <row r="70" spans="2:5" x14ac:dyDescent="0.2">
      <c r="B70" s="12"/>
    </row>
    <row r="71" spans="2:5" x14ac:dyDescent="0.2">
      <c r="B71" s="12"/>
    </row>
    <row r="72" spans="2:5" x14ac:dyDescent="0.2">
      <c r="B72" s="12"/>
    </row>
    <row r="73" spans="2:5" x14ac:dyDescent="0.2">
      <c r="B73" s="12"/>
    </row>
    <row r="74" spans="2:5" x14ac:dyDescent="0.2">
      <c r="B74" s="12"/>
    </row>
    <row r="75" spans="2:5" x14ac:dyDescent="0.2">
      <c r="B75" s="12"/>
    </row>
    <row r="76" spans="2:5" x14ac:dyDescent="0.2">
      <c r="B76" s="12"/>
    </row>
    <row r="77" spans="2:5" x14ac:dyDescent="0.2">
      <c r="B77" s="12"/>
    </row>
    <row r="82" spans="2:11" x14ac:dyDescent="0.2">
      <c r="B82" s="12"/>
    </row>
    <row r="83" spans="2:11" x14ac:dyDescent="0.2">
      <c r="B83" s="12"/>
    </row>
    <row r="84" spans="2:11" x14ac:dyDescent="0.2">
      <c r="B84" s="12"/>
    </row>
    <row r="85" spans="2:11" x14ac:dyDescent="0.2">
      <c r="B85" s="12"/>
    </row>
    <row r="86" spans="2:11" x14ac:dyDescent="0.2">
      <c r="B86" s="12"/>
    </row>
    <row r="87" spans="2:11" x14ac:dyDescent="0.2">
      <c r="B87" s="12"/>
    </row>
    <row r="88" spans="2:11" x14ac:dyDescent="0.2">
      <c r="B88" s="12"/>
    </row>
    <row r="89" spans="2:11" x14ac:dyDescent="0.2">
      <c r="B89" s="12"/>
    </row>
    <row r="90" spans="2:11" x14ac:dyDescent="0.2">
      <c r="B90" s="12"/>
    </row>
    <row r="91" spans="2:11" x14ac:dyDescent="0.2">
      <c r="B91" s="12"/>
    </row>
    <row r="92" spans="2:11" x14ac:dyDescent="0.2">
      <c r="B92" s="12"/>
    </row>
    <row r="93" spans="2:11" ht="16" x14ac:dyDescent="0.2">
      <c r="B93" s="12"/>
      <c r="D93" s="871"/>
      <c r="E93" s="871"/>
      <c r="F93" s="871"/>
      <c r="G93" s="871"/>
      <c r="H93" s="871"/>
      <c r="I93" s="871"/>
      <c r="J93" s="871"/>
      <c r="K93" s="871"/>
    </row>
    <row r="94" spans="2:11" x14ac:dyDescent="0.2">
      <c r="B94" s="12"/>
      <c r="F94" s="872"/>
      <c r="G94" s="872"/>
      <c r="H94" s="872"/>
      <c r="I94" s="872"/>
      <c r="J94" s="872"/>
      <c r="K94" s="872"/>
    </row>
    <row r="95" spans="2:11" ht="23" customHeight="1" x14ac:dyDescent="0.2">
      <c r="D95" s="788"/>
      <c r="E95" s="48"/>
    </row>
    <row r="96" spans="2:11" ht="42" customHeight="1" x14ac:dyDescent="0.2">
      <c r="D96" s="788"/>
      <c r="E96" s="49"/>
    </row>
    <row r="97" spans="2:11" ht="49" customHeight="1" x14ac:dyDescent="0.2">
      <c r="D97" s="788"/>
      <c r="E97" s="48"/>
    </row>
    <row r="98" spans="2:11" ht="49" customHeight="1" x14ac:dyDescent="0.2">
      <c r="D98" s="788"/>
      <c r="E98" s="48"/>
    </row>
    <row r="99" spans="2:11" x14ac:dyDescent="0.2">
      <c r="D99" s="788"/>
      <c r="E99" s="50"/>
      <c r="F99" s="870"/>
      <c r="G99" s="870"/>
      <c r="H99" s="870"/>
      <c r="I99" s="870"/>
      <c r="J99" s="870"/>
      <c r="K99" s="870"/>
    </row>
    <row r="100" spans="2:11" x14ac:dyDescent="0.2">
      <c r="D100" s="787"/>
      <c r="E100" s="48"/>
    </row>
    <row r="101" spans="2:11" x14ac:dyDescent="0.2">
      <c r="D101" s="787"/>
      <c r="E101" s="49"/>
    </row>
    <row r="102" spans="2:11" x14ac:dyDescent="0.2">
      <c r="D102" s="787"/>
      <c r="E102" s="48"/>
    </row>
    <row r="103" spans="2:11" x14ac:dyDescent="0.2">
      <c r="B103" s="12"/>
      <c r="D103" s="787"/>
      <c r="E103" s="48"/>
    </row>
    <row r="104" spans="2:11" x14ac:dyDescent="0.2">
      <c r="B104" s="12"/>
      <c r="D104" s="787"/>
      <c r="E104" s="50"/>
      <c r="F104" s="870"/>
      <c r="G104" s="870"/>
      <c r="H104" s="870"/>
      <c r="I104" s="870"/>
      <c r="J104" s="870"/>
      <c r="K104" s="870"/>
    </row>
    <row r="105" spans="2:11" x14ac:dyDescent="0.2">
      <c r="B105" s="12"/>
    </row>
    <row r="106" spans="2:11" x14ac:dyDescent="0.2">
      <c r="B106" s="12"/>
    </row>
    <row r="107" spans="2:11" x14ac:dyDescent="0.2">
      <c r="B107" s="12"/>
    </row>
    <row r="108" spans="2:11" x14ac:dyDescent="0.2">
      <c r="B108" s="12"/>
    </row>
  </sheetData>
  <sheetProtection algorithmName="SHA-512" hashValue="4xXT6qqYJa5uoybHhva5XILfYSF3plwq6vhy+aFfcM57Q6QRavuw9sDn+hbgdU2YPh1hdbZqT0aSVsVKoUigvg==" saltValue="Fufzh3M5cfHD/l5hZkopXA==" spinCount="100000" sheet="1" objects="1" scenarios="1"/>
  <mergeCells count="39">
    <mergeCell ref="O16:O17"/>
    <mergeCell ref="O18:O19"/>
    <mergeCell ref="D15:F15"/>
    <mergeCell ref="I17:K17"/>
    <mergeCell ref="M5:N15"/>
    <mergeCell ref="D60:E60"/>
    <mergeCell ref="D61:E61"/>
    <mergeCell ref="F60:I60"/>
    <mergeCell ref="B60:B68"/>
    <mergeCell ref="D24:E24"/>
    <mergeCell ref="B3:B31"/>
    <mergeCell ref="F61:I61"/>
    <mergeCell ref="B35:B56"/>
    <mergeCell ref="D35:K35"/>
    <mergeCell ref="D3:G3"/>
    <mergeCell ref="I3:L3"/>
    <mergeCell ref="M35:T35"/>
    <mergeCell ref="V35:AC35"/>
    <mergeCell ref="D36:D43"/>
    <mergeCell ref="M36:M43"/>
    <mergeCell ref="V36:V43"/>
    <mergeCell ref="U38:U46"/>
    <mergeCell ref="I43:J43"/>
    <mergeCell ref="D45:D56"/>
    <mergeCell ref="M45:M56"/>
    <mergeCell ref="V45:V56"/>
    <mergeCell ref="I56:J56"/>
    <mergeCell ref="D93:K93"/>
    <mergeCell ref="F94:G94"/>
    <mergeCell ref="H94:I94"/>
    <mergeCell ref="D100:D104"/>
    <mergeCell ref="F104:G104"/>
    <mergeCell ref="H104:I104"/>
    <mergeCell ref="J104:K104"/>
    <mergeCell ref="D95:D99"/>
    <mergeCell ref="F99:G99"/>
    <mergeCell ref="H99:I99"/>
    <mergeCell ref="J99:K99"/>
    <mergeCell ref="J94:K94"/>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9559-AE01-F34F-BC33-BC99843C4FCE}">
  <dimension ref="B2:BJ162"/>
  <sheetViews>
    <sheetView zoomScale="90" zoomScaleNormal="90" workbookViewId="0">
      <selection activeCell="Q13" sqref="Q13"/>
    </sheetView>
  </sheetViews>
  <sheetFormatPr baseColWidth="10" defaultRowHeight="15" x14ac:dyDescent="0.2"/>
  <cols>
    <col min="1" max="1" width="8.5" style="1" customWidth="1"/>
    <col min="2" max="2" width="9.33203125" style="1" customWidth="1"/>
    <col min="3" max="3" width="7.33203125" style="1" customWidth="1"/>
    <col min="4" max="4" width="4.6640625" style="1" customWidth="1"/>
    <col min="5" max="5" width="4.1640625" style="1" customWidth="1"/>
    <col min="6" max="6" width="9.33203125" style="1" customWidth="1"/>
    <col min="7" max="7" width="12.1640625" style="1" customWidth="1"/>
    <col min="8" max="8" width="7.6640625" style="1" bestFit="1" customWidth="1"/>
    <col min="9" max="9" width="15" style="1" customWidth="1"/>
    <col min="10" max="10" width="9.33203125" style="1" customWidth="1"/>
    <col min="11" max="11" width="11.5" style="1" customWidth="1"/>
    <col min="12" max="12" width="12.5" style="1" customWidth="1"/>
    <col min="13" max="13" width="5.33203125" style="1" bestFit="1" customWidth="1"/>
    <col min="14" max="14" width="12.5" style="1" customWidth="1"/>
    <col min="15" max="15" width="12.83203125" style="1" customWidth="1"/>
    <col min="16" max="16" width="15.5" style="1" customWidth="1"/>
    <col min="17" max="17" width="10.33203125" style="1" customWidth="1"/>
    <col min="18" max="18" width="9.6640625" style="1" customWidth="1"/>
    <col min="19" max="19" width="10.1640625" style="1" customWidth="1"/>
    <col min="20" max="20" width="9.1640625" style="1" bestFit="1" customWidth="1"/>
    <col min="21" max="21" width="9.33203125" style="1" customWidth="1"/>
    <col min="22" max="22" width="8.1640625" style="1" customWidth="1"/>
    <col min="23" max="23" width="12" style="1" customWidth="1"/>
    <col min="24" max="24" width="12.33203125" style="1" customWidth="1"/>
    <col min="25" max="25" width="11.33203125" style="1" customWidth="1"/>
    <col min="26" max="26" width="9" style="1" customWidth="1"/>
    <col min="27" max="27" width="9.1640625" style="1" bestFit="1" customWidth="1"/>
    <col min="28" max="28" width="8" style="1" customWidth="1"/>
    <col min="29" max="29" width="6.6640625" style="1" bestFit="1" customWidth="1"/>
    <col min="30" max="30" width="17.33203125" style="1" customWidth="1"/>
    <col min="31" max="31" width="9.5" style="1" customWidth="1"/>
    <col min="32" max="32" width="16.5" style="1" customWidth="1"/>
    <col min="33" max="33" width="13.83203125" style="1" customWidth="1"/>
    <col min="34" max="34" width="10.5" style="1" customWidth="1"/>
    <col min="35" max="35" width="5.1640625" style="1" customWidth="1"/>
    <col min="36" max="36" width="6.83203125" style="1" customWidth="1"/>
    <col min="37" max="37" width="7.5" style="1" bestFit="1" customWidth="1"/>
    <col min="38" max="40" width="4.6640625" style="1" bestFit="1" customWidth="1"/>
    <col min="41" max="41" width="5.6640625" style="1" bestFit="1" customWidth="1"/>
    <col min="42" max="54" width="6.6640625" style="1" bestFit="1" customWidth="1"/>
    <col min="55" max="55" width="5.6640625" style="1" bestFit="1" customWidth="1"/>
    <col min="56" max="59" width="4.6640625" style="1" bestFit="1" customWidth="1"/>
    <col min="60" max="60" width="14.83203125" style="1" customWidth="1"/>
    <col min="61" max="61" width="11.6640625" style="1" customWidth="1"/>
    <col min="62" max="16384" width="10.83203125" style="1"/>
  </cols>
  <sheetData>
    <row r="2" spans="2:62" ht="20" thickBot="1" x14ac:dyDescent="0.3">
      <c r="AC2" s="990"/>
      <c r="AD2" s="990"/>
      <c r="AE2" s="990"/>
      <c r="AF2" s="990"/>
      <c r="AG2" s="990"/>
      <c r="AH2" s="990"/>
      <c r="AI2" s="990"/>
      <c r="AJ2" s="990"/>
      <c r="AK2" s="990"/>
      <c r="AL2" s="990"/>
      <c r="AM2" s="990"/>
      <c r="AN2" s="990"/>
    </row>
    <row r="3" spans="2:62" ht="19" x14ac:dyDescent="0.25">
      <c r="B3" s="757" t="s">
        <v>25</v>
      </c>
      <c r="D3" s="848" t="s">
        <v>920</v>
      </c>
      <c r="E3" s="878"/>
      <c r="F3" s="878"/>
      <c r="G3" s="878"/>
      <c r="H3" s="878"/>
      <c r="I3" s="878"/>
      <c r="J3" s="878"/>
      <c r="K3" s="878"/>
      <c r="L3" s="849"/>
      <c r="M3" s="449"/>
      <c r="N3" s="848" t="s">
        <v>916</v>
      </c>
      <c r="O3" s="878"/>
      <c r="P3" s="878"/>
      <c r="Q3" s="878"/>
      <c r="R3" s="849"/>
      <c r="T3" s="1003" t="s">
        <v>921</v>
      </c>
      <c r="U3" s="1004"/>
      <c r="V3" s="1004"/>
      <c r="W3" s="1004"/>
      <c r="X3" s="1004"/>
      <c r="Y3" s="1004"/>
      <c r="Z3" s="1004"/>
      <c r="AA3" s="1005"/>
      <c r="AB3" s="110"/>
      <c r="AC3" s="110"/>
      <c r="AD3" s="110"/>
      <c r="AE3" s="788"/>
      <c r="AF3" s="788"/>
      <c r="AG3" s="788"/>
      <c r="AH3" s="788"/>
      <c r="AI3" s="788"/>
      <c r="AJ3" s="788"/>
      <c r="AK3" s="788"/>
      <c r="AL3" s="788"/>
      <c r="BC3" s="167"/>
      <c r="BD3" s="167"/>
      <c r="BE3" s="167"/>
      <c r="BF3" s="167"/>
    </row>
    <row r="4" spans="2:62" ht="34" x14ac:dyDescent="0.2">
      <c r="B4" s="758"/>
      <c r="D4" s="973" t="s">
        <v>62</v>
      </c>
      <c r="E4" s="974"/>
      <c r="F4" s="974"/>
      <c r="G4" s="974"/>
      <c r="H4" s="345" t="s">
        <v>900</v>
      </c>
      <c r="I4" s="345" t="s">
        <v>932</v>
      </c>
      <c r="J4" s="974" t="s">
        <v>28</v>
      </c>
      <c r="K4" s="974"/>
      <c r="L4" s="1010"/>
      <c r="M4" s="94"/>
      <c r="N4" s="396" t="s">
        <v>912</v>
      </c>
      <c r="O4" s="345" t="s">
        <v>913</v>
      </c>
      <c r="P4" s="345" t="s">
        <v>914</v>
      </c>
      <c r="Q4" s="345" t="s">
        <v>915</v>
      </c>
      <c r="R4" s="346" t="s">
        <v>188</v>
      </c>
      <c r="T4" s="1006" t="s">
        <v>975</v>
      </c>
      <c r="U4" s="737"/>
      <c r="V4" s="737"/>
      <c r="W4" s="737"/>
      <c r="X4" s="737"/>
      <c r="Y4" s="737"/>
      <c r="Z4" s="737"/>
      <c r="AA4" s="897"/>
      <c r="AE4" s="69"/>
      <c r="AF4" s="69"/>
      <c r="AG4" s="69"/>
      <c r="AH4" s="69"/>
      <c r="AI4" s="69"/>
      <c r="AJ4" s="69"/>
      <c r="AK4" s="69"/>
      <c r="AL4" s="69"/>
      <c r="BC4" s="167"/>
      <c r="BD4" s="167"/>
      <c r="BE4" s="167"/>
      <c r="BF4" s="167"/>
    </row>
    <row r="5" spans="2:62" ht="16" x14ac:dyDescent="0.2">
      <c r="B5" s="758"/>
      <c r="D5" s="1007" t="s">
        <v>927</v>
      </c>
      <c r="E5" s="1008"/>
      <c r="F5" s="1008"/>
      <c r="G5" s="1009"/>
      <c r="H5" s="660">
        <v>1</v>
      </c>
      <c r="I5" s="612">
        <v>1</v>
      </c>
      <c r="J5" s="1011" t="s">
        <v>889</v>
      </c>
      <c r="K5" s="955"/>
      <c r="L5" s="956"/>
      <c r="M5" s="94"/>
      <c r="N5" s="446">
        <v>1</v>
      </c>
      <c r="O5" s="447">
        <v>160</v>
      </c>
      <c r="P5" s="447">
        <v>4</v>
      </c>
      <c r="Q5" s="447">
        <v>6</v>
      </c>
      <c r="R5" s="448">
        <v>113760</v>
      </c>
      <c r="T5" s="1006"/>
      <c r="U5" s="737"/>
      <c r="V5" s="737"/>
      <c r="W5" s="737"/>
      <c r="X5" s="737"/>
      <c r="Y5" s="737"/>
      <c r="Z5" s="737"/>
      <c r="AA5" s="897"/>
      <c r="AE5" s="69"/>
      <c r="AF5" s="69"/>
      <c r="AG5" s="69"/>
      <c r="AH5" s="69"/>
      <c r="AI5" s="69"/>
      <c r="AJ5" s="69"/>
      <c r="AK5" s="69"/>
      <c r="AL5" s="69"/>
      <c r="BC5" s="167"/>
      <c r="BD5" s="167"/>
      <c r="BE5" s="167"/>
      <c r="BF5" s="167"/>
    </row>
    <row r="6" spans="2:62" ht="16" customHeight="1" thickBot="1" x14ac:dyDescent="0.25">
      <c r="B6" s="758"/>
      <c r="D6" s="1007" t="s">
        <v>929</v>
      </c>
      <c r="E6" s="1008"/>
      <c r="F6" s="1008"/>
      <c r="G6" s="1009"/>
      <c r="H6" s="612">
        <v>1</v>
      </c>
      <c r="I6" s="612">
        <v>1</v>
      </c>
      <c r="J6" s="1011" t="s">
        <v>889</v>
      </c>
      <c r="K6" s="955"/>
      <c r="L6" s="956"/>
      <c r="M6" s="69"/>
      <c r="N6" s="442">
        <v>2</v>
      </c>
      <c r="O6" s="443">
        <v>160</v>
      </c>
      <c r="P6" s="443">
        <v>6</v>
      </c>
      <c r="Q6" s="443">
        <v>6</v>
      </c>
      <c r="R6" s="444">
        <v>115620</v>
      </c>
      <c r="T6" s="1006"/>
      <c r="U6" s="737"/>
      <c r="V6" s="737"/>
      <c r="W6" s="737"/>
      <c r="X6" s="737"/>
      <c r="Y6" s="737"/>
      <c r="Z6" s="737"/>
      <c r="AA6" s="897"/>
      <c r="AE6" s="69"/>
      <c r="AF6" s="69"/>
      <c r="AG6" s="69"/>
      <c r="AH6" s="69"/>
      <c r="AI6" s="69"/>
      <c r="AJ6" s="69"/>
      <c r="AK6" s="69"/>
      <c r="AL6" s="69"/>
      <c r="BC6" s="167"/>
      <c r="BD6" s="167"/>
      <c r="BE6" s="167"/>
      <c r="BF6" s="167"/>
    </row>
    <row r="7" spans="2:62" ht="15" customHeight="1" x14ac:dyDescent="0.2">
      <c r="B7" s="758"/>
      <c r="D7" s="1007" t="s">
        <v>930</v>
      </c>
      <c r="E7" s="1008"/>
      <c r="F7" s="1008"/>
      <c r="G7" s="1009"/>
      <c r="H7" s="612">
        <v>1</v>
      </c>
      <c r="I7" s="612">
        <v>2</v>
      </c>
      <c r="J7" s="1011" t="s">
        <v>890</v>
      </c>
      <c r="K7" s="955"/>
      <c r="L7" s="956"/>
      <c r="M7" s="69"/>
      <c r="N7" s="242"/>
      <c r="T7" s="1006"/>
      <c r="U7" s="737"/>
      <c r="V7" s="737"/>
      <c r="W7" s="737"/>
      <c r="X7" s="737"/>
      <c r="Y7" s="737"/>
      <c r="Z7" s="737"/>
      <c r="AA7" s="897"/>
      <c r="BC7" s="167"/>
      <c r="BD7" s="167"/>
      <c r="BE7" s="167"/>
      <c r="BF7" s="167"/>
    </row>
    <row r="8" spans="2:62" ht="15" customHeight="1" x14ac:dyDescent="0.2">
      <c r="B8" s="758"/>
      <c r="D8" s="1007" t="s">
        <v>923</v>
      </c>
      <c r="E8" s="1008"/>
      <c r="F8" s="1008"/>
      <c r="G8" s="1009"/>
      <c r="H8" s="612">
        <v>2</v>
      </c>
      <c r="I8" s="612">
        <v>1</v>
      </c>
      <c r="J8" s="1011" t="s">
        <v>892</v>
      </c>
      <c r="K8" s="955"/>
      <c r="L8" s="956"/>
      <c r="N8" s="467"/>
      <c r="T8" s="1006"/>
      <c r="U8" s="737"/>
      <c r="V8" s="737"/>
      <c r="W8" s="737"/>
      <c r="X8" s="737"/>
      <c r="Y8" s="737"/>
      <c r="Z8" s="737"/>
      <c r="AA8" s="897"/>
      <c r="BC8" s="167"/>
      <c r="BD8" s="167"/>
      <c r="BE8" s="167"/>
      <c r="BF8" s="167"/>
    </row>
    <row r="9" spans="2:62" ht="16" customHeight="1" x14ac:dyDescent="0.2">
      <c r="B9" s="758"/>
      <c r="D9" s="1007" t="s">
        <v>924</v>
      </c>
      <c r="E9" s="1008"/>
      <c r="F9" s="1008"/>
      <c r="G9" s="1009"/>
      <c r="H9" s="612">
        <v>2</v>
      </c>
      <c r="I9" s="612">
        <v>1</v>
      </c>
      <c r="J9" s="1011" t="s">
        <v>892</v>
      </c>
      <c r="K9" s="955"/>
      <c r="L9" s="956"/>
      <c r="M9" s="69"/>
      <c r="T9" s="1006"/>
      <c r="U9" s="737"/>
      <c r="V9" s="737"/>
      <c r="W9" s="737"/>
      <c r="X9" s="737"/>
      <c r="Y9" s="737"/>
      <c r="Z9" s="737"/>
      <c r="AA9" s="897"/>
      <c r="BC9" s="167"/>
      <c r="BD9" s="167"/>
      <c r="BE9" s="167"/>
      <c r="BF9" s="167"/>
    </row>
    <row r="10" spans="2:62" ht="15" customHeight="1" thickBot="1" x14ac:dyDescent="0.25">
      <c r="B10" s="758"/>
      <c r="D10" s="953" t="s">
        <v>926</v>
      </c>
      <c r="E10" s="954"/>
      <c r="F10" s="954"/>
      <c r="G10" s="954"/>
      <c r="H10" s="613">
        <v>3</v>
      </c>
      <c r="I10" s="613">
        <v>1</v>
      </c>
      <c r="J10" s="1051" t="s">
        <v>891</v>
      </c>
      <c r="K10" s="1051"/>
      <c r="L10" s="1052"/>
      <c r="N10" s="69"/>
      <c r="O10" s="69"/>
      <c r="P10" s="69"/>
      <c r="Q10" s="69"/>
      <c r="R10" s="69"/>
      <c r="S10" s="69"/>
      <c r="T10" s="1006"/>
      <c r="U10" s="737"/>
      <c r="V10" s="737"/>
      <c r="W10" s="737"/>
      <c r="X10" s="737"/>
      <c r="Y10" s="737"/>
      <c r="Z10" s="737"/>
      <c r="AA10" s="897"/>
      <c r="BC10" s="165"/>
      <c r="BD10" s="165"/>
      <c r="BE10" s="165"/>
      <c r="BF10" s="165"/>
    </row>
    <row r="11" spans="2:62" ht="16" thickBot="1" x14ac:dyDescent="0.25">
      <c r="B11" s="758"/>
      <c r="M11" s="69"/>
      <c r="N11" s="69"/>
      <c r="O11" s="69"/>
      <c r="T11" s="1006"/>
      <c r="U11" s="737"/>
      <c r="V11" s="737"/>
      <c r="W11" s="737"/>
      <c r="X11" s="737"/>
      <c r="Y11" s="737"/>
      <c r="Z11" s="737"/>
      <c r="AA11" s="897"/>
      <c r="BC11" s="166"/>
      <c r="BD11" s="166"/>
      <c r="BE11" s="166"/>
      <c r="BF11" s="166"/>
    </row>
    <row r="12" spans="2:62" ht="19" customHeight="1" x14ac:dyDescent="0.25">
      <c r="B12" s="758"/>
      <c r="D12" s="1040" t="s">
        <v>919</v>
      </c>
      <c r="E12" s="1041"/>
      <c r="F12" s="1041"/>
      <c r="G12" s="1041"/>
      <c r="H12" s="1042"/>
      <c r="N12" s="69"/>
      <c r="O12" s="69"/>
      <c r="T12" s="1006"/>
      <c r="U12" s="737"/>
      <c r="V12" s="737"/>
      <c r="W12" s="737"/>
      <c r="X12" s="737"/>
      <c r="Y12" s="737"/>
      <c r="Z12" s="737"/>
      <c r="AA12" s="897"/>
      <c r="BC12" s="166"/>
      <c r="BD12" s="166"/>
      <c r="BE12" s="166"/>
      <c r="BF12" s="166"/>
    </row>
    <row r="13" spans="2:62" x14ac:dyDescent="0.2">
      <c r="B13" s="758"/>
      <c r="D13" s="1043" t="s">
        <v>917</v>
      </c>
      <c r="E13" s="1044"/>
      <c r="F13" s="1044"/>
      <c r="G13" s="1045"/>
      <c r="H13" s="570">
        <v>0.5</v>
      </c>
      <c r="I13" s="69"/>
      <c r="J13" s="69"/>
      <c r="K13" s="69"/>
      <c r="M13" s="69"/>
      <c r="N13" s="69"/>
      <c r="O13" s="69"/>
      <c r="T13" s="1006"/>
      <c r="U13" s="737"/>
      <c r="V13" s="737"/>
      <c r="W13" s="737"/>
      <c r="X13" s="737"/>
      <c r="Y13" s="737"/>
      <c r="Z13" s="737"/>
      <c r="AA13" s="897"/>
      <c r="BC13" s="166"/>
      <c r="BD13" s="166"/>
      <c r="BE13" s="166"/>
      <c r="BF13" s="166"/>
    </row>
    <row r="14" spans="2:62" ht="16" customHeight="1" thickBot="1" x14ac:dyDescent="0.25">
      <c r="B14" s="758"/>
      <c r="D14" s="1053" t="s">
        <v>918</v>
      </c>
      <c r="E14" s="1054"/>
      <c r="F14" s="1054"/>
      <c r="G14" s="1054"/>
      <c r="H14" s="571">
        <v>0.68799999999999994</v>
      </c>
      <c r="N14" s="69"/>
      <c r="O14" s="69"/>
      <c r="T14" s="453"/>
      <c r="U14" s="454"/>
      <c r="V14" s="454"/>
      <c r="W14" s="454"/>
      <c r="X14" s="454"/>
      <c r="Y14" s="454"/>
      <c r="Z14" s="454"/>
      <c r="AA14" s="455"/>
      <c r="AS14" s="92"/>
      <c r="AT14" s="92"/>
      <c r="AU14" s="92"/>
      <c r="AV14" s="92"/>
      <c r="AW14" s="92"/>
      <c r="AX14" s="92"/>
      <c r="AY14" s="92"/>
      <c r="AZ14" s="92"/>
      <c r="BA14" s="92"/>
      <c r="BB14" s="92"/>
      <c r="BC14" s="166"/>
      <c r="BD14" s="166"/>
      <c r="BE14" s="166"/>
      <c r="BF14" s="166"/>
    </row>
    <row r="15" spans="2:62" ht="16" customHeight="1" thickBot="1" x14ac:dyDescent="0.25">
      <c r="B15" s="758"/>
      <c r="I15" s="69"/>
      <c r="J15" s="69"/>
      <c r="K15" s="69"/>
      <c r="M15" s="69"/>
      <c r="N15" s="69"/>
      <c r="O15" s="69"/>
      <c r="U15" s="69"/>
      <c r="AU15" s="92"/>
      <c r="AV15" s="92"/>
      <c r="AW15" s="92"/>
      <c r="AX15" s="92"/>
      <c r="AY15" s="92"/>
      <c r="AZ15" s="92"/>
      <c r="BA15" s="92"/>
      <c r="BB15" s="92"/>
      <c r="BC15" s="92"/>
      <c r="BD15" s="92"/>
      <c r="BE15" s="166"/>
      <c r="BF15" s="166"/>
      <c r="BG15" s="166"/>
      <c r="BH15" s="166"/>
    </row>
    <row r="16" spans="2:62" ht="16" x14ac:dyDescent="0.2">
      <c r="B16" s="758"/>
      <c r="D16" s="994" t="s">
        <v>589</v>
      </c>
      <c r="E16" s="995"/>
      <c r="F16" s="995"/>
      <c r="G16" s="995"/>
      <c r="H16" s="995"/>
      <c r="I16" s="995"/>
      <c r="J16" s="995"/>
      <c r="K16" s="995"/>
      <c r="L16" s="995"/>
      <c r="M16" s="995"/>
      <c r="N16" s="995"/>
      <c r="O16" s="995"/>
      <c r="P16" s="995"/>
      <c r="Q16" s="995"/>
      <c r="R16" s="995"/>
      <c r="S16" s="995"/>
      <c r="T16" s="995"/>
      <c r="U16" s="995"/>
      <c r="V16" s="995"/>
      <c r="W16" s="995"/>
      <c r="X16" s="995"/>
      <c r="Y16" s="995"/>
      <c r="Z16" s="995"/>
      <c r="AA16" s="995"/>
      <c r="AB16" s="995"/>
      <c r="AC16" s="996"/>
      <c r="AK16" s="168"/>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row>
    <row r="17" spans="2:62" ht="16" x14ac:dyDescent="0.2">
      <c r="B17" s="758"/>
      <c r="D17" s="997" t="s">
        <v>588</v>
      </c>
      <c r="E17" s="998"/>
      <c r="F17" s="998"/>
      <c r="G17" s="998"/>
      <c r="H17" s="998"/>
      <c r="I17" s="998"/>
      <c r="J17" s="998"/>
      <c r="K17" s="998"/>
      <c r="L17" s="998"/>
      <c r="M17" s="998"/>
      <c r="N17" s="998"/>
      <c r="O17" s="998"/>
      <c r="P17" s="998"/>
      <c r="Q17" s="998"/>
      <c r="R17" s="998"/>
      <c r="S17" s="998"/>
      <c r="T17" s="998"/>
      <c r="U17" s="998"/>
      <c r="V17" s="998"/>
      <c r="W17" s="998"/>
      <c r="X17" s="998"/>
      <c r="Y17" s="998"/>
      <c r="Z17" s="998"/>
      <c r="AA17" s="998"/>
      <c r="AB17" s="998"/>
      <c r="AC17" s="999"/>
      <c r="AF17" s="871"/>
      <c r="AG17" s="871"/>
      <c r="AH17" s="871"/>
      <c r="AI17" s="871"/>
      <c r="AJ17" s="871"/>
      <c r="AK17" s="871"/>
      <c r="AL17" s="871"/>
      <c r="AM17" s="871"/>
      <c r="AN17" s="871"/>
      <c r="AO17" s="871"/>
      <c r="AP17" s="871"/>
      <c r="AQ17" s="871"/>
      <c r="AR17" s="871"/>
      <c r="AS17" s="871"/>
      <c r="AT17" s="871"/>
      <c r="AU17" s="871"/>
      <c r="AV17" s="166"/>
      <c r="AW17" s="166"/>
      <c r="AX17" s="166"/>
      <c r="AY17" s="166"/>
      <c r="AZ17" s="166"/>
      <c r="BA17" s="166"/>
      <c r="BB17" s="166"/>
      <c r="BC17" s="166"/>
      <c r="BD17" s="166"/>
      <c r="BE17" s="166"/>
      <c r="BF17" s="166"/>
      <c r="BG17" s="166"/>
      <c r="BH17" s="166"/>
      <c r="BI17" s="166"/>
      <c r="BJ17" s="166"/>
    </row>
    <row r="18" spans="2:62" x14ac:dyDescent="0.2">
      <c r="B18" s="758"/>
      <c r="D18" s="1000" t="s">
        <v>587</v>
      </c>
      <c r="E18" s="143"/>
      <c r="F18" s="393">
        <v>0</v>
      </c>
      <c r="G18" s="393">
        <v>1</v>
      </c>
      <c r="H18" s="393">
        <v>2</v>
      </c>
      <c r="I18" s="393">
        <v>3</v>
      </c>
      <c r="J18" s="393">
        <v>4</v>
      </c>
      <c r="K18" s="393">
        <v>5</v>
      </c>
      <c r="L18" s="393">
        <v>6</v>
      </c>
      <c r="M18" s="393">
        <v>7</v>
      </c>
      <c r="N18" s="393">
        <v>8</v>
      </c>
      <c r="O18" s="393">
        <v>9</v>
      </c>
      <c r="P18" s="393">
        <v>10</v>
      </c>
      <c r="Q18" s="393">
        <v>11</v>
      </c>
      <c r="R18" s="393">
        <v>12</v>
      </c>
      <c r="S18" s="393">
        <v>13</v>
      </c>
      <c r="T18" s="393">
        <v>14</v>
      </c>
      <c r="U18" s="393">
        <v>15</v>
      </c>
      <c r="V18" s="393">
        <v>16</v>
      </c>
      <c r="W18" s="393">
        <v>17</v>
      </c>
      <c r="X18" s="393">
        <v>18</v>
      </c>
      <c r="Y18" s="393">
        <v>19</v>
      </c>
      <c r="Z18" s="393">
        <v>20</v>
      </c>
      <c r="AA18" s="393">
        <v>21</v>
      </c>
      <c r="AB18" s="393">
        <v>22</v>
      </c>
      <c r="AC18" s="394">
        <v>23</v>
      </c>
      <c r="AF18" s="788"/>
      <c r="AG18" s="788"/>
      <c r="AH18" s="788"/>
      <c r="AI18" s="788"/>
      <c r="AJ18" s="5"/>
      <c r="AK18" s="788"/>
      <c r="AL18" s="788"/>
      <c r="AM18" s="788"/>
      <c r="AN18" s="788"/>
      <c r="AO18" s="788"/>
      <c r="AP18" s="788"/>
      <c r="AQ18" s="788"/>
      <c r="AR18" s="788"/>
      <c r="AS18" s="788"/>
      <c r="AT18" s="788"/>
      <c r="AU18" s="788"/>
      <c r="AV18" s="166"/>
      <c r="AW18" s="166"/>
      <c r="AX18" s="166"/>
      <c r="AY18" s="166"/>
      <c r="AZ18" s="166"/>
      <c r="BA18" s="166"/>
      <c r="BB18" s="166"/>
      <c r="BC18" s="166"/>
      <c r="BD18" s="166"/>
      <c r="BE18" s="166"/>
      <c r="BF18" s="166"/>
      <c r="BG18" s="166"/>
      <c r="BH18" s="166"/>
      <c r="BI18" s="166"/>
      <c r="BJ18" s="166"/>
    </row>
    <row r="19" spans="2:62" ht="15" customHeight="1" x14ac:dyDescent="0.2">
      <c r="B19" s="758"/>
      <c r="D19" s="1001"/>
      <c r="E19" s="143">
        <v>1</v>
      </c>
      <c r="F19" s="672">
        <v>0</v>
      </c>
      <c r="G19" s="673">
        <v>0</v>
      </c>
      <c r="H19" s="673">
        <v>0</v>
      </c>
      <c r="I19" s="673">
        <v>0</v>
      </c>
      <c r="J19" s="673">
        <v>0</v>
      </c>
      <c r="K19" s="673">
        <v>0</v>
      </c>
      <c r="L19" s="673">
        <v>0</v>
      </c>
      <c r="M19" s="673">
        <v>2.0580645161290323E-2</v>
      </c>
      <c r="N19" s="673">
        <v>0.10316129032258065</v>
      </c>
      <c r="O19" s="673">
        <v>0.23696774193548387</v>
      </c>
      <c r="P19" s="673">
        <v>0.31267741935483873</v>
      </c>
      <c r="Q19" s="673">
        <v>0.34661290322580646</v>
      </c>
      <c r="R19" s="673">
        <v>0.33351612903225802</v>
      </c>
      <c r="S19" s="673">
        <v>0.28112903225806452</v>
      </c>
      <c r="T19" s="673">
        <v>0.192</v>
      </c>
      <c r="U19" s="673">
        <v>8.9903225806451617E-2</v>
      </c>
      <c r="V19" s="673">
        <v>9.2258064516129046E-3</v>
      </c>
      <c r="W19" s="673">
        <v>0</v>
      </c>
      <c r="X19" s="673">
        <v>0</v>
      </c>
      <c r="Y19" s="673">
        <v>0</v>
      </c>
      <c r="Z19" s="673">
        <v>0</v>
      </c>
      <c r="AA19" s="673">
        <v>0</v>
      </c>
      <c r="AB19" s="673">
        <v>0</v>
      </c>
      <c r="AC19" s="674">
        <v>0</v>
      </c>
      <c r="AF19" s="789"/>
      <c r="AG19" s="789"/>
      <c r="AH19" s="789"/>
      <c r="AI19" s="789"/>
      <c r="AJ19" s="60"/>
      <c r="AK19" s="1012"/>
      <c r="AL19" s="1012"/>
      <c r="AM19" s="1012"/>
      <c r="AN19" s="1012"/>
      <c r="AO19" s="1012"/>
      <c r="AP19" s="1012"/>
      <c r="AQ19" s="1012"/>
      <c r="AR19" s="1012"/>
      <c r="AS19" s="1012"/>
      <c r="AT19" s="1012"/>
      <c r="AU19" s="1012"/>
      <c r="AV19" s="166"/>
      <c r="AW19" s="166"/>
      <c r="AX19" s="166"/>
      <c r="AY19" s="166"/>
      <c r="AZ19" s="166"/>
      <c r="BA19" s="166"/>
      <c r="BB19" s="166"/>
      <c r="BC19" s="166"/>
      <c r="BD19" s="166"/>
      <c r="BE19" s="166"/>
      <c r="BF19" s="166"/>
      <c r="BG19" s="166"/>
      <c r="BH19" s="166"/>
      <c r="BI19" s="166"/>
      <c r="BJ19" s="166"/>
    </row>
    <row r="20" spans="2:62" x14ac:dyDescent="0.2">
      <c r="B20" s="758"/>
      <c r="D20" s="1001"/>
      <c r="E20" s="143">
        <v>2</v>
      </c>
      <c r="F20" s="675">
        <v>0</v>
      </c>
      <c r="G20" s="676">
        <v>0</v>
      </c>
      <c r="H20" s="676">
        <v>0</v>
      </c>
      <c r="I20" s="676">
        <v>0</v>
      </c>
      <c r="J20" s="676">
        <v>0</v>
      </c>
      <c r="K20" s="676">
        <v>0</v>
      </c>
      <c r="L20" s="676">
        <v>1.7857142857142857E-4</v>
      </c>
      <c r="M20" s="676">
        <v>6.0785714285714283E-2</v>
      </c>
      <c r="N20" s="676">
        <v>0.17274999999999999</v>
      </c>
      <c r="O20" s="676">
        <v>0.28807142857142853</v>
      </c>
      <c r="P20" s="676">
        <v>0.39314285714285718</v>
      </c>
      <c r="Q20" s="676">
        <v>0.42610714285714285</v>
      </c>
      <c r="R20" s="676">
        <v>0.40467857142857144</v>
      </c>
      <c r="S20" s="676">
        <v>0.35975000000000001</v>
      </c>
      <c r="T20" s="676">
        <v>0.27864285714285719</v>
      </c>
      <c r="U20" s="676">
        <v>0.18814285714285714</v>
      </c>
      <c r="V20" s="676">
        <v>6.4321428571428571E-2</v>
      </c>
      <c r="W20" s="676">
        <v>0</v>
      </c>
      <c r="X20" s="676">
        <v>0</v>
      </c>
      <c r="Y20" s="676">
        <v>0</v>
      </c>
      <c r="Z20" s="676">
        <v>0</v>
      </c>
      <c r="AA20" s="676">
        <v>0</v>
      </c>
      <c r="AB20" s="676">
        <v>0</v>
      </c>
      <c r="AC20" s="677">
        <v>0</v>
      </c>
      <c r="AE20" s="1" t="s">
        <v>183</v>
      </c>
      <c r="AF20" s="1013"/>
      <c r="AG20" s="1013"/>
      <c r="AH20" s="1013"/>
      <c r="AI20" s="1013"/>
      <c r="AJ20" s="60"/>
      <c r="AK20" s="1012"/>
      <c r="AL20" s="1012"/>
      <c r="AM20" s="1012"/>
      <c r="AN20" s="1012"/>
      <c r="AO20" s="1012"/>
      <c r="AP20" s="1012"/>
      <c r="AQ20" s="1012"/>
      <c r="AR20" s="1012"/>
      <c r="AS20" s="1012"/>
      <c r="AT20" s="1012"/>
      <c r="AU20" s="1012"/>
      <c r="AV20" s="166"/>
      <c r="AW20" s="166"/>
      <c r="AX20" s="166"/>
      <c r="AY20" s="166"/>
      <c r="AZ20" s="166"/>
      <c r="BA20" s="166"/>
      <c r="BB20" s="166"/>
      <c r="BC20" s="166"/>
      <c r="BD20" s="166"/>
      <c r="BE20" s="166"/>
      <c r="BF20" s="166"/>
      <c r="BG20" s="166"/>
      <c r="BH20" s="166"/>
      <c r="BI20" s="166"/>
      <c r="BJ20" s="166"/>
    </row>
    <row r="21" spans="2:62" x14ac:dyDescent="0.2">
      <c r="B21" s="758"/>
      <c r="D21" s="1001"/>
      <c r="E21" s="143">
        <v>3</v>
      </c>
      <c r="F21" s="675">
        <v>0</v>
      </c>
      <c r="G21" s="676">
        <v>0</v>
      </c>
      <c r="H21" s="676">
        <v>0</v>
      </c>
      <c r="I21" s="676">
        <v>0</v>
      </c>
      <c r="J21" s="676">
        <v>0</v>
      </c>
      <c r="K21" s="676">
        <v>0</v>
      </c>
      <c r="L21" s="676">
        <v>5.3548387096774189E-2</v>
      </c>
      <c r="M21" s="676">
        <v>0.17948387096774193</v>
      </c>
      <c r="N21" s="676">
        <v>0.31645161290322582</v>
      </c>
      <c r="O21" s="676">
        <v>0.46119354838709675</v>
      </c>
      <c r="P21" s="676">
        <v>0.5345483870967741</v>
      </c>
      <c r="Q21" s="676">
        <v>0.54158064516129034</v>
      </c>
      <c r="R21" s="676">
        <v>0.5148387096774194</v>
      </c>
      <c r="S21" s="676">
        <v>0.51058064516129031</v>
      </c>
      <c r="T21" s="676">
        <v>0.42974193548387096</v>
      </c>
      <c r="U21" s="676">
        <v>0.29380645161290325</v>
      </c>
      <c r="V21" s="676">
        <v>0.1374516129032258</v>
      </c>
      <c r="W21" s="676">
        <v>2.4419354838709675E-2</v>
      </c>
      <c r="X21" s="676">
        <v>0</v>
      </c>
      <c r="Y21" s="676">
        <v>0</v>
      </c>
      <c r="Z21" s="676">
        <v>0</v>
      </c>
      <c r="AA21" s="676">
        <v>0</v>
      </c>
      <c r="AB21" s="676">
        <v>0</v>
      </c>
      <c r="AC21" s="677">
        <v>0</v>
      </c>
      <c r="AF21" s="789"/>
      <c r="AG21" s="789"/>
      <c r="AH21" s="789"/>
      <c r="AI21" s="789"/>
      <c r="AJ21" s="60"/>
      <c r="AK21" s="1012"/>
      <c r="AL21" s="1012"/>
      <c r="AM21" s="1012"/>
      <c r="AN21" s="1012"/>
      <c r="AO21" s="1012"/>
      <c r="AP21" s="1012"/>
      <c r="AQ21" s="1012"/>
      <c r="AR21" s="1012"/>
      <c r="AS21" s="1012"/>
      <c r="AT21" s="1012"/>
      <c r="AU21" s="1012"/>
      <c r="AV21" s="166"/>
      <c r="AW21" s="166"/>
      <c r="AX21" s="166"/>
      <c r="AY21" s="166"/>
      <c r="AZ21" s="166"/>
      <c r="BA21" s="166"/>
      <c r="BB21" s="166"/>
      <c r="BC21" s="166"/>
      <c r="BD21" s="166"/>
      <c r="BE21" s="166"/>
      <c r="BF21" s="166"/>
      <c r="BG21" s="166"/>
      <c r="BH21" s="166"/>
      <c r="BI21" s="166"/>
      <c r="BJ21" s="166"/>
    </row>
    <row r="22" spans="2:62" x14ac:dyDescent="0.2">
      <c r="B22" s="758"/>
      <c r="D22" s="1001"/>
      <c r="E22" s="143">
        <v>4</v>
      </c>
      <c r="F22" s="675">
        <v>0</v>
      </c>
      <c r="G22" s="676">
        <v>0</v>
      </c>
      <c r="H22" s="676">
        <v>0</v>
      </c>
      <c r="I22" s="676">
        <v>0</v>
      </c>
      <c r="J22" s="676">
        <v>0</v>
      </c>
      <c r="K22" s="676">
        <v>3.2399999999999998E-2</v>
      </c>
      <c r="L22" s="676">
        <v>0.13276666666666667</v>
      </c>
      <c r="M22" s="676">
        <v>0.26926666666666665</v>
      </c>
      <c r="N22" s="676">
        <v>0.40823333333333334</v>
      </c>
      <c r="O22" s="676">
        <v>0.5413</v>
      </c>
      <c r="P22" s="676">
        <v>0.65620000000000001</v>
      </c>
      <c r="Q22" s="676">
        <v>0.68163333333333331</v>
      </c>
      <c r="R22" s="676">
        <v>0.61039999999999994</v>
      </c>
      <c r="S22" s="676">
        <v>0.56889999999999996</v>
      </c>
      <c r="T22" s="676">
        <v>0.44323333333333337</v>
      </c>
      <c r="U22" s="676">
        <v>0.29126666666666667</v>
      </c>
      <c r="V22" s="676">
        <v>0.17943333333333333</v>
      </c>
      <c r="W22" s="676">
        <v>7.2666666666666671E-2</v>
      </c>
      <c r="X22" s="676">
        <v>6.333333333333333E-4</v>
      </c>
      <c r="Y22" s="676">
        <v>0</v>
      </c>
      <c r="Z22" s="676">
        <v>0</v>
      </c>
      <c r="AA22" s="676">
        <v>0</v>
      </c>
      <c r="AB22" s="676">
        <v>0</v>
      </c>
      <c r="AC22" s="677">
        <v>0</v>
      </c>
      <c r="AF22" s="789"/>
      <c r="AG22" s="789"/>
      <c r="AH22" s="789"/>
      <c r="AI22" s="789"/>
      <c r="AJ22" s="243"/>
      <c r="AK22" s="1014"/>
      <c r="AL22" s="1014"/>
      <c r="AM22" s="1014"/>
      <c r="AN22" s="1014"/>
      <c r="AO22" s="1014"/>
      <c r="AP22" s="1014"/>
      <c r="AQ22" s="1014"/>
      <c r="AR22" s="1014"/>
      <c r="AS22" s="1014"/>
      <c r="AT22" s="1014"/>
      <c r="AU22" s="1014"/>
      <c r="AV22" s="166"/>
      <c r="AW22" s="166"/>
      <c r="AX22" s="166"/>
      <c r="AY22" s="166"/>
      <c r="AZ22" s="166"/>
      <c r="BA22" s="166"/>
      <c r="BB22" s="166"/>
      <c r="BC22" s="166"/>
      <c r="BD22" s="166"/>
      <c r="BE22" s="166"/>
      <c r="BF22" s="166"/>
      <c r="BG22" s="166"/>
      <c r="BH22" s="166"/>
      <c r="BI22" s="166"/>
      <c r="BJ22" s="166"/>
    </row>
    <row r="23" spans="2:62" x14ac:dyDescent="0.2">
      <c r="B23" s="758"/>
      <c r="D23" s="1001"/>
      <c r="E23" s="143">
        <v>5</v>
      </c>
      <c r="F23" s="675">
        <v>0</v>
      </c>
      <c r="G23" s="676">
        <v>0</v>
      </c>
      <c r="H23" s="676">
        <v>0</v>
      </c>
      <c r="I23" s="676">
        <v>0</v>
      </c>
      <c r="J23" s="676">
        <v>2.7419354838709676E-3</v>
      </c>
      <c r="K23" s="676">
        <v>8.0064516129032259E-2</v>
      </c>
      <c r="L23" s="676">
        <v>0.20864516129032259</v>
      </c>
      <c r="M23" s="676">
        <v>0.33264516129032257</v>
      </c>
      <c r="N23" s="676">
        <v>0.47454838709677422</v>
      </c>
      <c r="O23" s="676">
        <v>0.58619354838709681</v>
      </c>
      <c r="P23" s="676">
        <v>0.6722258064516129</v>
      </c>
      <c r="Q23" s="676">
        <v>0.70216129032258057</v>
      </c>
      <c r="R23" s="676">
        <v>0.68874193548387097</v>
      </c>
      <c r="S23" s="676">
        <v>0.60909677419354846</v>
      </c>
      <c r="T23" s="676">
        <v>0.51422580645161298</v>
      </c>
      <c r="U23" s="676">
        <v>0.40341935483870972</v>
      </c>
      <c r="V23" s="676">
        <v>0.26074193548387098</v>
      </c>
      <c r="W23" s="676">
        <v>0.11506451612903226</v>
      </c>
      <c r="X23" s="676">
        <v>2.4419354838709675E-2</v>
      </c>
      <c r="Y23" s="676">
        <v>0</v>
      </c>
      <c r="Z23" s="676">
        <v>0</v>
      </c>
      <c r="AA23" s="676">
        <v>0</v>
      </c>
      <c r="AB23" s="676">
        <v>0</v>
      </c>
      <c r="AC23" s="677">
        <v>0</v>
      </c>
      <c r="AF23" s="789"/>
      <c r="AG23" s="789"/>
      <c r="AH23" s="789"/>
      <c r="AI23" s="789"/>
      <c r="AJ23" s="51"/>
      <c r="AK23" s="1014"/>
      <c r="AL23" s="1014"/>
      <c r="AM23" s="1014"/>
      <c r="AN23" s="1014"/>
      <c r="AO23" s="1014"/>
      <c r="AP23" s="1014"/>
      <c r="AQ23" s="1014"/>
      <c r="AR23" s="1014"/>
      <c r="AS23" s="1014"/>
      <c r="AT23" s="1014"/>
      <c r="AU23" s="1014"/>
    </row>
    <row r="24" spans="2:62" x14ac:dyDescent="0.2">
      <c r="B24" s="758"/>
      <c r="D24" s="1001"/>
      <c r="E24" s="143">
        <v>6</v>
      </c>
      <c r="F24" s="675">
        <v>0</v>
      </c>
      <c r="G24" s="676">
        <v>0</v>
      </c>
      <c r="H24" s="676">
        <v>0</v>
      </c>
      <c r="I24" s="676">
        <v>0</v>
      </c>
      <c r="J24" s="676">
        <v>1.3699999999999999E-2</v>
      </c>
      <c r="K24" s="676">
        <v>0.11433333333333333</v>
      </c>
      <c r="L24" s="676">
        <v>0.23676666666666668</v>
      </c>
      <c r="M24" s="676">
        <v>0.33903333333333335</v>
      </c>
      <c r="N24" s="676">
        <v>0.48496666666666666</v>
      </c>
      <c r="O24" s="676">
        <v>0.60503333333333331</v>
      </c>
      <c r="P24" s="676">
        <v>0.68359999999999999</v>
      </c>
      <c r="Q24" s="676">
        <v>0.73939999999999995</v>
      </c>
      <c r="R24" s="676">
        <v>0.74326666666666663</v>
      </c>
      <c r="S24" s="676">
        <v>0.66956666666666675</v>
      </c>
      <c r="T24" s="676">
        <v>0.57803333333333329</v>
      </c>
      <c r="U24" s="676">
        <v>0.4607</v>
      </c>
      <c r="V24" s="676">
        <v>0.31586666666666668</v>
      </c>
      <c r="W24" s="676">
        <v>0.15606666666666666</v>
      </c>
      <c r="X24" s="676">
        <v>5.67E-2</v>
      </c>
      <c r="Y24" s="676">
        <v>0</v>
      </c>
      <c r="Z24" s="676">
        <v>0</v>
      </c>
      <c r="AA24" s="676">
        <v>0</v>
      </c>
      <c r="AB24" s="676">
        <v>0</v>
      </c>
      <c r="AC24" s="677">
        <v>0</v>
      </c>
    </row>
    <row r="25" spans="2:62" x14ac:dyDescent="0.2">
      <c r="B25" s="758"/>
      <c r="D25" s="1001"/>
      <c r="E25" s="143">
        <v>7</v>
      </c>
      <c r="F25" s="675">
        <v>0</v>
      </c>
      <c r="G25" s="676">
        <v>0</v>
      </c>
      <c r="H25" s="676">
        <v>0</v>
      </c>
      <c r="I25" s="676">
        <v>0</v>
      </c>
      <c r="J25" s="676">
        <v>3.4838709677419357E-3</v>
      </c>
      <c r="K25" s="676">
        <v>8.8032258064516131E-2</v>
      </c>
      <c r="L25" s="676">
        <v>0.22125806451612903</v>
      </c>
      <c r="M25" s="676">
        <v>0.38980645161290323</v>
      </c>
      <c r="N25" s="676">
        <v>0.49487096774193551</v>
      </c>
      <c r="O25" s="676">
        <v>0.61135483870967744</v>
      </c>
      <c r="P25" s="676">
        <v>0.7173225806451613</v>
      </c>
      <c r="Q25" s="676">
        <v>0.72038709677419355</v>
      </c>
      <c r="R25" s="676">
        <v>0.74403225806451612</v>
      </c>
      <c r="S25" s="676">
        <v>0.7114838709677419</v>
      </c>
      <c r="T25" s="676">
        <v>0.61645161290322581</v>
      </c>
      <c r="U25" s="676">
        <v>0.46948387096774197</v>
      </c>
      <c r="V25" s="676">
        <v>0.30974193548387097</v>
      </c>
      <c r="W25" s="676">
        <v>0.16761290322580646</v>
      </c>
      <c r="X25" s="676">
        <v>5.1677419354838709E-2</v>
      </c>
      <c r="Y25" s="676">
        <v>0</v>
      </c>
      <c r="Z25" s="676">
        <v>0</v>
      </c>
      <c r="AA25" s="676">
        <v>0</v>
      </c>
      <c r="AB25" s="676">
        <v>0</v>
      </c>
      <c r="AC25" s="677">
        <v>0</v>
      </c>
    </row>
    <row r="26" spans="2:62" x14ac:dyDescent="0.2">
      <c r="B26" s="758"/>
      <c r="D26" s="1001"/>
      <c r="E26" s="143">
        <v>8</v>
      </c>
      <c r="F26" s="675">
        <v>0</v>
      </c>
      <c r="G26" s="676">
        <v>0</v>
      </c>
      <c r="H26" s="676">
        <v>0</v>
      </c>
      <c r="I26" s="676">
        <v>0</v>
      </c>
      <c r="J26" s="676">
        <v>0</v>
      </c>
      <c r="K26" s="676">
        <v>4.1645161290322585E-2</v>
      </c>
      <c r="L26" s="676">
        <v>0.16916129032258065</v>
      </c>
      <c r="M26" s="676">
        <v>0.32751612903225807</v>
      </c>
      <c r="N26" s="676">
        <v>0.47022580645161294</v>
      </c>
      <c r="O26" s="676">
        <v>0.58451612903225802</v>
      </c>
      <c r="P26" s="676">
        <v>0.67603225806451606</v>
      </c>
      <c r="Q26" s="676">
        <v>0.71274193548387099</v>
      </c>
      <c r="R26" s="676">
        <v>0.71564516129032252</v>
      </c>
      <c r="S26" s="676">
        <v>0.68067741935483861</v>
      </c>
      <c r="T26" s="676">
        <v>0.54167741935483871</v>
      </c>
      <c r="U26" s="676">
        <v>0.42312903225806453</v>
      </c>
      <c r="V26" s="676">
        <v>0.24535483870967742</v>
      </c>
      <c r="W26" s="676">
        <v>0.10545161290322581</v>
      </c>
      <c r="X26" s="676">
        <v>9.2903225806451623E-3</v>
      </c>
      <c r="Y26" s="676">
        <v>0</v>
      </c>
      <c r="Z26" s="676">
        <v>0</v>
      </c>
      <c r="AA26" s="676">
        <v>0</v>
      </c>
      <c r="AB26" s="676">
        <v>0</v>
      </c>
      <c r="AC26" s="677">
        <v>0</v>
      </c>
    </row>
    <row r="27" spans="2:62" x14ac:dyDescent="0.2">
      <c r="B27" s="758"/>
      <c r="D27" s="1001"/>
      <c r="E27" s="143">
        <v>9</v>
      </c>
      <c r="F27" s="675">
        <v>0</v>
      </c>
      <c r="G27" s="676">
        <v>0</v>
      </c>
      <c r="H27" s="676">
        <v>0</v>
      </c>
      <c r="I27" s="676">
        <v>0</v>
      </c>
      <c r="J27" s="676">
        <v>0</v>
      </c>
      <c r="K27" s="676">
        <v>6.4999999999999997E-3</v>
      </c>
      <c r="L27" s="676">
        <v>0.10523333333333333</v>
      </c>
      <c r="M27" s="676">
        <v>0.22423333333333331</v>
      </c>
      <c r="N27" s="676">
        <v>0.36969999999999997</v>
      </c>
      <c r="O27" s="676">
        <v>0.49876666666666664</v>
      </c>
      <c r="P27" s="676">
        <v>0.57066666666666666</v>
      </c>
      <c r="Q27" s="676">
        <v>0.62593333333333323</v>
      </c>
      <c r="R27" s="676">
        <v>0.59286666666666665</v>
      </c>
      <c r="S27" s="676">
        <v>0.53813333333333335</v>
      </c>
      <c r="T27" s="676">
        <v>0.43293333333333334</v>
      </c>
      <c r="U27" s="676">
        <v>0.30649999999999999</v>
      </c>
      <c r="V27" s="676">
        <v>0.15263333333333332</v>
      </c>
      <c r="W27" s="676">
        <v>2.93E-2</v>
      </c>
      <c r="X27" s="676">
        <v>0</v>
      </c>
      <c r="Y27" s="676">
        <v>0</v>
      </c>
      <c r="Z27" s="676">
        <v>0</v>
      </c>
      <c r="AA27" s="676">
        <v>0</v>
      </c>
      <c r="AB27" s="676">
        <v>0</v>
      </c>
      <c r="AC27" s="677">
        <v>0</v>
      </c>
      <c r="AK27" s="60"/>
    </row>
    <row r="28" spans="2:62" x14ac:dyDescent="0.2">
      <c r="B28" s="758"/>
      <c r="D28" s="1001"/>
      <c r="E28" s="143">
        <v>10</v>
      </c>
      <c r="F28" s="675">
        <v>0</v>
      </c>
      <c r="G28" s="676">
        <v>0</v>
      </c>
      <c r="H28" s="676">
        <v>0</v>
      </c>
      <c r="I28" s="676">
        <v>0</v>
      </c>
      <c r="J28" s="676">
        <v>0</v>
      </c>
      <c r="K28" s="676">
        <v>0</v>
      </c>
      <c r="L28" s="676">
        <v>4.1419354838709677E-2</v>
      </c>
      <c r="M28" s="676">
        <v>0.15803225806451612</v>
      </c>
      <c r="N28" s="676">
        <v>0.28935483870967743</v>
      </c>
      <c r="O28" s="676">
        <v>0.41464516129032258</v>
      </c>
      <c r="P28" s="676">
        <v>0.48229032258064519</v>
      </c>
      <c r="Q28" s="676">
        <v>0.51167741935483868</v>
      </c>
      <c r="R28" s="676">
        <v>0.46687096774193548</v>
      </c>
      <c r="S28" s="676">
        <v>0.39419354838709675</v>
      </c>
      <c r="T28" s="676">
        <v>0.29809677419354841</v>
      </c>
      <c r="U28" s="676">
        <v>0.16487096774193549</v>
      </c>
      <c r="V28" s="676">
        <v>3.9E-2</v>
      </c>
      <c r="W28" s="676">
        <v>0</v>
      </c>
      <c r="X28" s="676">
        <v>0</v>
      </c>
      <c r="Y28" s="676">
        <v>0</v>
      </c>
      <c r="Z28" s="676">
        <v>0</v>
      </c>
      <c r="AA28" s="676">
        <v>0</v>
      </c>
      <c r="AB28" s="676">
        <v>0</v>
      </c>
      <c r="AC28" s="677">
        <v>0</v>
      </c>
      <c r="AK28" s="60"/>
    </row>
    <row r="29" spans="2:62" x14ac:dyDescent="0.2">
      <c r="B29" s="758"/>
      <c r="D29" s="1001"/>
      <c r="E29" s="143">
        <v>11</v>
      </c>
      <c r="F29" s="675">
        <v>0</v>
      </c>
      <c r="G29" s="676">
        <v>0</v>
      </c>
      <c r="H29" s="676">
        <v>0</v>
      </c>
      <c r="I29" s="676">
        <v>0</v>
      </c>
      <c r="J29" s="676">
        <v>0</v>
      </c>
      <c r="K29" s="676">
        <v>0</v>
      </c>
      <c r="L29" s="676">
        <v>2.3333333333333335E-3</v>
      </c>
      <c r="M29" s="676">
        <v>8.2200000000000009E-2</v>
      </c>
      <c r="N29" s="676">
        <v>0.18619999999999998</v>
      </c>
      <c r="O29" s="676">
        <v>0.28133333333333332</v>
      </c>
      <c r="P29" s="676">
        <v>0.33163333333333334</v>
      </c>
      <c r="Q29" s="676">
        <v>0.36696666666666666</v>
      </c>
      <c r="R29" s="676">
        <v>0.34646666666666665</v>
      </c>
      <c r="S29" s="676">
        <v>0.26996666666666663</v>
      </c>
      <c r="T29" s="676">
        <v>0.17673333333333333</v>
      </c>
      <c r="U29" s="676">
        <v>7.9433333333333342E-2</v>
      </c>
      <c r="V29" s="676">
        <v>4.6666666666666666E-4</v>
      </c>
      <c r="W29" s="676">
        <v>0</v>
      </c>
      <c r="X29" s="676">
        <v>0</v>
      </c>
      <c r="Y29" s="676">
        <v>0</v>
      </c>
      <c r="Z29" s="676">
        <v>0</v>
      </c>
      <c r="AA29" s="676">
        <v>0</v>
      </c>
      <c r="AB29" s="676">
        <v>0</v>
      </c>
      <c r="AC29" s="677">
        <v>0</v>
      </c>
      <c r="AK29" s="60"/>
    </row>
    <row r="30" spans="2:62" ht="16" thickBot="1" x14ac:dyDescent="0.25">
      <c r="B30" s="758"/>
      <c r="D30" s="1002"/>
      <c r="E30" s="85">
        <v>12</v>
      </c>
      <c r="F30" s="678">
        <v>0</v>
      </c>
      <c r="G30" s="679">
        <v>0</v>
      </c>
      <c r="H30" s="679">
        <v>0</v>
      </c>
      <c r="I30" s="679">
        <v>0</v>
      </c>
      <c r="J30" s="679">
        <v>0</v>
      </c>
      <c r="K30" s="679">
        <v>0</v>
      </c>
      <c r="L30" s="679">
        <v>0</v>
      </c>
      <c r="M30" s="679">
        <v>2.2645161290322579E-2</v>
      </c>
      <c r="N30" s="679">
        <v>0.10074193548387096</v>
      </c>
      <c r="O30" s="679">
        <v>0.17458064516129032</v>
      </c>
      <c r="P30" s="679">
        <v>0.23322580645161289</v>
      </c>
      <c r="Q30" s="679">
        <v>0.27929032258064518</v>
      </c>
      <c r="R30" s="679">
        <v>0.25493548387096776</v>
      </c>
      <c r="S30" s="679">
        <v>0.21280645161290324</v>
      </c>
      <c r="T30" s="679">
        <v>0.13919354838709677</v>
      </c>
      <c r="U30" s="679">
        <v>5.2645161290322581E-2</v>
      </c>
      <c r="V30" s="679">
        <v>0</v>
      </c>
      <c r="W30" s="679">
        <v>0</v>
      </c>
      <c r="X30" s="679">
        <v>0</v>
      </c>
      <c r="Y30" s="679">
        <v>0</v>
      </c>
      <c r="Z30" s="679">
        <v>0</v>
      </c>
      <c r="AA30" s="679">
        <v>0</v>
      </c>
      <c r="AB30" s="679">
        <v>0</v>
      </c>
      <c r="AC30" s="680">
        <v>0</v>
      </c>
      <c r="AK30" s="60"/>
    </row>
    <row r="31" spans="2:62" ht="16" thickBot="1" x14ac:dyDescent="0.25">
      <c r="B31" s="758"/>
      <c r="AK31" s="60"/>
    </row>
    <row r="32" spans="2:62" ht="16" x14ac:dyDescent="0.2">
      <c r="B32" s="758"/>
      <c r="D32" s="994" t="s">
        <v>596</v>
      </c>
      <c r="E32" s="995"/>
      <c r="F32" s="995"/>
      <c r="G32" s="995"/>
      <c r="H32" s="995"/>
      <c r="I32" s="995"/>
      <c r="J32" s="995"/>
      <c r="K32" s="995"/>
      <c r="L32" s="995"/>
      <c r="M32" s="995"/>
      <c r="N32" s="995"/>
      <c r="O32" s="995"/>
      <c r="P32" s="995"/>
      <c r="Q32" s="995"/>
      <c r="R32" s="995"/>
      <c r="S32" s="995"/>
      <c r="T32" s="995"/>
      <c r="U32" s="995"/>
      <c r="V32" s="995"/>
      <c r="W32" s="995"/>
      <c r="X32" s="995"/>
      <c r="Y32" s="995"/>
      <c r="Z32" s="995"/>
      <c r="AA32" s="995"/>
      <c r="AB32" s="995"/>
      <c r="AC32" s="996"/>
      <c r="AK32" s="60"/>
    </row>
    <row r="33" spans="2:37" ht="16" x14ac:dyDescent="0.2">
      <c r="B33" s="758"/>
      <c r="D33" s="997" t="s">
        <v>588</v>
      </c>
      <c r="E33" s="998"/>
      <c r="F33" s="998"/>
      <c r="G33" s="998"/>
      <c r="H33" s="998"/>
      <c r="I33" s="998"/>
      <c r="J33" s="998"/>
      <c r="K33" s="998"/>
      <c r="L33" s="998"/>
      <c r="M33" s="998"/>
      <c r="N33" s="998"/>
      <c r="O33" s="998"/>
      <c r="P33" s="998"/>
      <c r="Q33" s="998"/>
      <c r="R33" s="998"/>
      <c r="S33" s="998"/>
      <c r="T33" s="998"/>
      <c r="U33" s="998"/>
      <c r="V33" s="998"/>
      <c r="W33" s="998"/>
      <c r="X33" s="998"/>
      <c r="Y33" s="998"/>
      <c r="Z33" s="998"/>
      <c r="AA33" s="998"/>
      <c r="AB33" s="998"/>
      <c r="AC33" s="999"/>
      <c r="AK33" s="60"/>
    </row>
    <row r="34" spans="2:37" x14ac:dyDescent="0.2">
      <c r="B34" s="758"/>
      <c r="D34" s="1000" t="s">
        <v>587</v>
      </c>
      <c r="E34" s="143"/>
      <c r="F34" s="393">
        <v>0</v>
      </c>
      <c r="G34" s="393">
        <v>1</v>
      </c>
      <c r="H34" s="393">
        <v>2</v>
      </c>
      <c r="I34" s="393">
        <v>3</v>
      </c>
      <c r="J34" s="393">
        <v>4</v>
      </c>
      <c r="K34" s="393">
        <v>5</v>
      </c>
      <c r="L34" s="393">
        <v>6</v>
      </c>
      <c r="M34" s="393">
        <v>7</v>
      </c>
      <c r="N34" s="393">
        <v>8</v>
      </c>
      <c r="O34" s="393">
        <v>9</v>
      </c>
      <c r="P34" s="393">
        <v>10</v>
      </c>
      <c r="Q34" s="393">
        <v>11</v>
      </c>
      <c r="R34" s="393">
        <v>12</v>
      </c>
      <c r="S34" s="393">
        <v>13</v>
      </c>
      <c r="T34" s="393">
        <v>14</v>
      </c>
      <c r="U34" s="393">
        <v>15</v>
      </c>
      <c r="V34" s="393">
        <v>16</v>
      </c>
      <c r="W34" s="393">
        <v>17</v>
      </c>
      <c r="X34" s="393">
        <v>18</v>
      </c>
      <c r="Y34" s="393">
        <v>19</v>
      </c>
      <c r="Z34" s="393">
        <v>20</v>
      </c>
      <c r="AA34" s="393">
        <v>21</v>
      </c>
      <c r="AB34" s="393">
        <v>22</v>
      </c>
      <c r="AC34" s="394">
        <v>23</v>
      </c>
      <c r="AE34" s="1" t="s">
        <v>608</v>
      </c>
      <c r="AF34" s="1" t="s">
        <v>183</v>
      </c>
      <c r="AK34" s="60"/>
    </row>
    <row r="35" spans="2:37" x14ac:dyDescent="0.2">
      <c r="B35" s="758"/>
      <c r="D35" s="1001"/>
      <c r="E35" s="143">
        <v>1</v>
      </c>
      <c r="F35" s="672">
        <v>0</v>
      </c>
      <c r="G35" s="673">
        <v>0</v>
      </c>
      <c r="H35" s="673">
        <v>0</v>
      </c>
      <c r="I35" s="673">
        <v>0</v>
      </c>
      <c r="J35" s="673">
        <v>0</v>
      </c>
      <c r="K35" s="673">
        <v>0</v>
      </c>
      <c r="L35" s="673">
        <v>0</v>
      </c>
      <c r="M35" s="673">
        <v>2.9064516129032259E-2</v>
      </c>
      <c r="N35" s="673">
        <v>0.12219354838709677</v>
      </c>
      <c r="O35" s="673">
        <v>0.22864516129032258</v>
      </c>
      <c r="P35" s="673">
        <v>0.30096774193548387</v>
      </c>
      <c r="Q35" s="673">
        <v>0.33900000000000002</v>
      </c>
      <c r="R35" s="673">
        <v>0.31909677419354843</v>
      </c>
      <c r="S35" s="673">
        <v>0.27358064516129033</v>
      </c>
      <c r="T35" s="673">
        <v>0.19767741935483871</v>
      </c>
      <c r="U35" s="673">
        <v>9.7129032258064518E-2</v>
      </c>
      <c r="V35" s="673">
        <v>1.0354838709677419E-2</v>
      </c>
      <c r="W35" s="673">
        <v>0</v>
      </c>
      <c r="X35" s="673">
        <v>0</v>
      </c>
      <c r="Y35" s="673">
        <v>0</v>
      </c>
      <c r="Z35" s="673">
        <v>0</v>
      </c>
      <c r="AA35" s="673">
        <v>0</v>
      </c>
      <c r="AB35" s="673">
        <v>0</v>
      </c>
      <c r="AC35" s="674">
        <v>0</v>
      </c>
      <c r="AK35" s="60"/>
    </row>
    <row r="36" spans="2:37" x14ac:dyDescent="0.2">
      <c r="B36" s="758"/>
      <c r="D36" s="1001"/>
      <c r="E36" s="143">
        <v>2</v>
      </c>
      <c r="F36" s="675">
        <v>0</v>
      </c>
      <c r="G36" s="676">
        <v>0</v>
      </c>
      <c r="H36" s="676">
        <v>0</v>
      </c>
      <c r="I36" s="676">
        <v>0</v>
      </c>
      <c r="J36" s="676">
        <v>0</v>
      </c>
      <c r="K36" s="676">
        <v>0</v>
      </c>
      <c r="L36" s="676">
        <v>7.8571428571428575E-4</v>
      </c>
      <c r="M36" s="676">
        <v>6.8571428571428575E-2</v>
      </c>
      <c r="N36" s="676">
        <v>0.189</v>
      </c>
      <c r="O36" s="676">
        <v>0.29910714285714285</v>
      </c>
      <c r="P36" s="676">
        <v>0.38257142857142856</v>
      </c>
      <c r="Q36" s="676">
        <v>0.42217857142857146</v>
      </c>
      <c r="R36" s="676">
        <v>0.42210714285714285</v>
      </c>
      <c r="S36" s="676">
        <v>0.3804642857142857</v>
      </c>
      <c r="T36" s="676">
        <v>0.30967857142857147</v>
      </c>
      <c r="U36" s="676">
        <v>0.19021428571428572</v>
      </c>
      <c r="V36" s="676">
        <v>6.3750000000000001E-2</v>
      </c>
      <c r="W36" s="676">
        <v>0</v>
      </c>
      <c r="X36" s="676">
        <v>0</v>
      </c>
      <c r="Y36" s="676">
        <v>0</v>
      </c>
      <c r="Z36" s="676">
        <v>0</v>
      </c>
      <c r="AA36" s="676">
        <v>0</v>
      </c>
      <c r="AB36" s="676">
        <v>0</v>
      </c>
      <c r="AC36" s="677">
        <v>0</v>
      </c>
      <c r="AK36" s="60"/>
    </row>
    <row r="37" spans="2:37" x14ac:dyDescent="0.2">
      <c r="B37" s="758"/>
      <c r="D37" s="1001"/>
      <c r="E37" s="143">
        <v>3</v>
      </c>
      <c r="F37" s="675">
        <v>0</v>
      </c>
      <c r="G37" s="676">
        <v>0</v>
      </c>
      <c r="H37" s="676">
        <v>0</v>
      </c>
      <c r="I37" s="676">
        <v>0</v>
      </c>
      <c r="J37" s="676">
        <v>0</v>
      </c>
      <c r="K37" s="676">
        <v>0</v>
      </c>
      <c r="L37" s="676">
        <v>5.4290322580645159E-2</v>
      </c>
      <c r="M37" s="676">
        <v>0.16054838709677421</v>
      </c>
      <c r="N37" s="676">
        <v>0.27193548387096772</v>
      </c>
      <c r="O37" s="676">
        <v>0.40570967741935482</v>
      </c>
      <c r="P37" s="676">
        <v>0.51290322580645153</v>
      </c>
      <c r="Q37" s="676">
        <v>0.564483870967742</v>
      </c>
      <c r="R37" s="676">
        <v>0.55593548387096769</v>
      </c>
      <c r="S37" s="676">
        <v>0.48561290322580647</v>
      </c>
      <c r="T37" s="676">
        <v>0.38641935483870971</v>
      </c>
      <c r="U37" s="676">
        <v>0.27748387096774196</v>
      </c>
      <c r="V37" s="676">
        <v>0.13861290322580647</v>
      </c>
      <c r="W37" s="676">
        <v>2.5967741935483873E-2</v>
      </c>
      <c r="X37" s="676">
        <v>0</v>
      </c>
      <c r="Y37" s="676">
        <v>0</v>
      </c>
      <c r="Z37" s="676">
        <v>0</v>
      </c>
      <c r="AA37" s="676">
        <v>0</v>
      </c>
      <c r="AB37" s="676">
        <v>0</v>
      </c>
      <c r="AC37" s="677">
        <v>0</v>
      </c>
      <c r="AK37" s="60"/>
    </row>
    <row r="38" spans="2:37" x14ac:dyDescent="0.2">
      <c r="B38" s="758"/>
      <c r="D38" s="1001"/>
      <c r="E38" s="143">
        <v>4</v>
      </c>
      <c r="F38" s="675">
        <v>0</v>
      </c>
      <c r="G38" s="676">
        <v>0</v>
      </c>
      <c r="H38" s="676">
        <v>0</v>
      </c>
      <c r="I38" s="676">
        <v>0</v>
      </c>
      <c r="J38" s="676">
        <v>0</v>
      </c>
      <c r="K38" s="676">
        <v>2.8766666666666666E-2</v>
      </c>
      <c r="L38" s="676">
        <v>0.12756666666666666</v>
      </c>
      <c r="M38" s="676">
        <v>0.26173333333333337</v>
      </c>
      <c r="N38" s="676">
        <v>0.42946666666666666</v>
      </c>
      <c r="O38" s="676">
        <v>0.5860333333333333</v>
      </c>
      <c r="P38" s="676">
        <v>0.69550000000000001</v>
      </c>
      <c r="Q38" s="676">
        <v>0.71206666666666674</v>
      </c>
      <c r="R38" s="676">
        <v>0.6951666666666666</v>
      </c>
      <c r="S38" s="676">
        <v>0.63923333333333332</v>
      </c>
      <c r="T38" s="676">
        <v>0.51036666666666664</v>
      </c>
      <c r="U38" s="676">
        <v>0.36646666666666666</v>
      </c>
      <c r="V38" s="676">
        <v>0.21716666666666665</v>
      </c>
      <c r="W38" s="676">
        <v>8.14E-2</v>
      </c>
      <c r="X38" s="676">
        <v>6.9999999999999999E-4</v>
      </c>
      <c r="Y38" s="676">
        <v>0</v>
      </c>
      <c r="Z38" s="676">
        <v>0</v>
      </c>
      <c r="AA38" s="676">
        <v>0</v>
      </c>
      <c r="AB38" s="676">
        <v>0</v>
      </c>
      <c r="AC38" s="677">
        <v>0</v>
      </c>
      <c r="AK38" s="60"/>
    </row>
    <row r="39" spans="2:37" x14ac:dyDescent="0.2">
      <c r="B39" s="758"/>
      <c r="D39" s="1001"/>
      <c r="E39" s="143">
        <v>5</v>
      </c>
      <c r="F39" s="675">
        <v>0</v>
      </c>
      <c r="G39" s="676">
        <v>0</v>
      </c>
      <c r="H39" s="676">
        <v>0</v>
      </c>
      <c r="I39" s="676">
        <v>0</v>
      </c>
      <c r="J39" s="676">
        <v>3.3225806451612906E-3</v>
      </c>
      <c r="K39" s="676">
        <v>7.5709677419354832E-2</v>
      </c>
      <c r="L39" s="676">
        <v>0.21180645161290323</v>
      </c>
      <c r="M39" s="676">
        <v>0.34732258064516131</v>
      </c>
      <c r="N39" s="676">
        <v>0.4838709677419355</v>
      </c>
      <c r="O39" s="676">
        <v>0.60522580645161295</v>
      </c>
      <c r="P39" s="676">
        <v>0.68419354838709678</v>
      </c>
      <c r="Q39" s="676">
        <v>0.7134516129032259</v>
      </c>
      <c r="R39" s="676">
        <v>0.70645161290322589</v>
      </c>
      <c r="S39" s="676">
        <v>0.62083870967741939</v>
      </c>
      <c r="T39" s="676">
        <v>0.52493548387096767</v>
      </c>
      <c r="U39" s="676">
        <v>0.42796774193548387</v>
      </c>
      <c r="V39" s="676">
        <v>0.26587096774193547</v>
      </c>
      <c r="W39" s="676">
        <v>0.12570967741935482</v>
      </c>
      <c r="X39" s="676">
        <v>2.5161290322580646E-2</v>
      </c>
      <c r="Y39" s="676">
        <v>0</v>
      </c>
      <c r="Z39" s="676">
        <v>0</v>
      </c>
      <c r="AA39" s="676">
        <v>0</v>
      </c>
      <c r="AB39" s="676">
        <v>0</v>
      </c>
      <c r="AC39" s="677">
        <v>0</v>
      </c>
    </row>
    <row r="40" spans="2:37" x14ac:dyDescent="0.2">
      <c r="B40" s="758"/>
      <c r="D40" s="1001"/>
      <c r="E40" s="143">
        <v>6</v>
      </c>
      <c r="F40" s="675">
        <v>0</v>
      </c>
      <c r="G40" s="676">
        <v>0</v>
      </c>
      <c r="H40" s="676">
        <v>0</v>
      </c>
      <c r="I40" s="676">
        <v>0</v>
      </c>
      <c r="J40" s="676">
        <v>1.35E-2</v>
      </c>
      <c r="K40" s="676">
        <v>0.11059999999999999</v>
      </c>
      <c r="L40" s="676">
        <v>0.24673333333333333</v>
      </c>
      <c r="M40" s="676">
        <v>0.36253333333333337</v>
      </c>
      <c r="N40" s="676">
        <v>0.48769999999999997</v>
      </c>
      <c r="O40" s="676">
        <v>0.60529999999999995</v>
      </c>
      <c r="P40" s="676">
        <v>0.70720000000000005</v>
      </c>
      <c r="Q40" s="676">
        <v>0.75609999999999999</v>
      </c>
      <c r="R40" s="676">
        <v>0.73193333333333332</v>
      </c>
      <c r="S40" s="676">
        <v>0.67936666666666667</v>
      </c>
      <c r="T40" s="676">
        <v>0.60250000000000004</v>
      </c>
      <c r="U40" s="676">
        <v>0.46100000000000002</v>
      </c>
      <c r="V40" s="676">
        <v>0.32553333333333334</v>
      </c>
      <c r="W40" s="676">
        <v>0.17566666666666667</v>
      </c>
      <c r="X40" s="676">
        <v>5.5433333333333328E-2</v>
      </c>
      <c r="Y40" s="676">
        <v>0</v>
      </c>
      <c r="Z40" s="676">
        <v>0</v>
      </c>
      <c r="AA40" s="676">
        <v>0</v>
      </c>
      <c r="AB40" s="676">
        <v>0</v>
      </c>
      <c r="AC40" s="677">
        <v>0</v>
      </c>
    </row>
    <row r="41" spans="2:37" x14ac:dyDescent="0.2">
      <c r="B41" s="758"/>
      <c r="D41" s="1001"/>
      <c r="E41" s="143">
        <v>7</v>
      </c>
      <c r="F41" s="675">
        <v>0</v>
      </c>
      <c r="G41" s="676">
        <v>0</v>
      </c>
      <c r="H41" s="676">
        <v>0</v>
      </c>
      <c r="I41" s="676">
        <v>0</v>
      </c>
      <c r="J41" s="676">
        <v>2.7096774193548384E-3</v>
      </c>
      <c r="K41" s="676">
        <v>8.7322580645161296E-2</v>
      </c>
      <c r="L41" s="676">
        <v>0.21577419354838712</v>
      </c>
      <c r="M41" s="676">
        <v>0.37983870967741934</v>
      </c>
      <c r="N41" s="676">
        <v>0.55503225806451606</v>
      </c>
      <c r="O41" s="676">
        <v>0.66241935483870962</v>
      </c>
      <c r="P41" s="676">
        <v>0.75806451612903236</v>
      </c>
      <c r="Q41" s="676">
        <v>0.80377419354838708</v>
      </c>
      <c r="R41" s="676">
        <v>0.76932258064516135</v>
      </c>
      <c r="S41" s="676">
        <v>0.6973548387096774</v>
      </c>
      <c r="T41" s="676">
        <v>0.61529032258064509</v>
      </c>
      <c r="U41" s="676">
        <v>0.46306451612903227</v>
      </c>
      <c r="V41" s="676">
        <v>0.33929032258064518</v>
      </c>
      <c r="W41" s="676">
        <v>0.18293548387096775</v>
      </c>
      <c r="X41" s="676">
        <v>4.9548387096774192E-2</v>
      </c>
      <c r="Y41" s="676">
        <v>0</v>
      </c>
      <c r="Z41" s="676">
        <v>0</v>
      </c>
      <c r="AA41" s="676">
        <v>0</v>
      </c>
      <c r="AB41" s="676">
        <v>0</v>
      </c>
      <c r="AC41" s="677">
        <v>0</v>
      </c>
    </row>
    <row r="42" spans="2:37" x14ac:dyDescent="0.2">
      <c r="B42" s="758"/>
      <c r="D42" s="1001"/>
      <c r="E42" s="143">
        <v>8</v>
      </c>
      <c r="F42" s="675">
        <v>0</v>
      </c>
      <c r="G42" s="676">
        <v>0</v>
      </c>
      <c r="H42" s="676">
        <v>0</v>
      </c>
      <c r="I42" s="676">
        <v>0</v>
      </c>
      <c r="J42" s="676">
        <v>0</v>
      </c>
      <c r="K42" s="676">
        <v>4.7677419354838713E-2</v>
      </c>
      <c r="L42" s="676">
        <v>0.18561290322580645</v>
      </c>
      <c r="M42" s="676">
        <v>0.3339032258064516</v>
      </c>
      <c r="N42" s="676">
        <v>0.468258064516129</v>
      </c>
      <c r="O42" s="676">
        <v>0.58432258064516129</v>
      </c>
      <c r="P42" s="676">
        <v>0.64716129032258063</v>
      </c>
      <c r="Q42" s="676">
        <v>0.7051935483870968</v>
      </c>
      <c r="R42" s="676">
        <v>0.69616129032258056</v>
      </c>
      <c r="S42" s="676">
        <v>0.66232258064516136</v>
      </c>
      <c r="T42" s="676">
        <v>0.57112903225806455</v>
      </c>
      <c r="U42" s="676">
        <v>0.42954838709677423</v>
      </c>
      <c r="V42" s="676">
        <v>0.27819354838709676</v>
      </c>
      <c r="W42" s="676">
        <v>0.11193548387096774</v>
      </c>
      <c r="X42" s="676">
        <v>1.1580645161290322E-2</v>
      </c>
      <c r="Y42" s="676">
        <v>0</v>
      </c>
      <c r="Z42" s="676">
        <v>0</v>
      </c>
      <c r="AA42" s="676">
        <v>0</v>
      </c>
      <c r="AB42" s="676">
        <v>0</v>
      </c>
      <c r="AC42" s="677">
        <v>0</v>
      </c>
    </row>
    <row r="43" spans="2:37" x14ac:dyDescent="0.2">
      <c r="B43" s="758"/>
      <c r="D43" s="1001"/>
      <c r="E43" s="143">
        <v>9</v>
      </c>
      <c r="F43" s="675">
        <v>0</v>
      </c>
      <c r="G43" s="676">
        <v>0</v>
      </c>
      <c r="H43" s="676">
        <v>0</v>
      </c>
      <c r="I43" s="676">
        <v>0</v>
      </c>
      <c r="J43" s="676">
        <v>0</v>
      </c>
      <c r="K43" s="676">
        <v>5.8333333333333327E-3</v>
      </c>
      <c r="L43" s="676">
        <v>0.12409999999999999</v>
      </c>
      <c r="M43" s="676">
        <v>0.24416666666666667</v>
      </c>
      <c r="N43" s="676">
        <v>0.40899999999999997</v>
      </c>
      <c r="O43" s="676">
        <v>0.52906666666666669</v>
      </c>
      <c r="P43" s="676">
        <v>0.60563333333333336</v>
      </c>
      <c r="Q43" s="676">
        <v>0.65876666666666661</v>
      </c>
      <c r="R43" s="676">
        <v>0.63553333333333328</v>
      </c>
      <c r="S43" s="676">
        <v>0.58196666666666674</v>
      </c>
      <c r="T43" s="676">
        <v>0.44039999999999996</v>
      </c>
      <c r="U43" s="676">
        <v>0.30313333333333331</v>
      </c>
      <c r="V43" s="676">
        <v>0.15226666666666669</v>
      </c>
      <c r="W43" s="676">
        <v>3.0199999999999998E-2</v>
      </c>
      <c r="X43" s="676">
        <v>0</v>
      </c>
      <c r="Y43" s="676">
        <v>0</v>
      </c>
      <c r="Z43" s="676">
        <v>0</v>
      </c>
      <c r="AA43" s="676">
        <v>0</v>
      </c>
      <c r="AB43" s="676">
        <v>0</v>
      </c>
      <c r="AC43" s="677">
        <v>0</v>
      </c>
    </row>
    <row r="44" spans="2:37" x14ac:dyDescent="0.2">
      <c r="B44" s="758"/>
      <c r="D44" s="1001"/>
      <c r="E44" s="143">
        <v>10</v>
      </c>
      <c r="F44" s="675">
        <v>0</v>
      </c>
      <c r="G44" s="676">
        <v>0</v>
      </c>
      <c r="H44" s="676">
        <v>0</v>
      </c>
      <c r="I44" s="676">
        <v>0</v>
      </c>
      <c r="J44" s="676">
        <v>0</v>
      </c>
      <c r="K44" s="676">
        <v>0</v>
      </c>
      <c r="L44" s="676">
        <v>4.7387096774193553E-2</v>
      </c>
      <c r="M44" s="676">
        <v>0.15370967741935485</v>
      </c>
      <c r="N44" s="676">
        <v>0.26535483870967747</v>
      </c>
      <c r="O44" s="676">
        <v>0.36790322580645157</v>
      </c>
      <c r="P44" s="676">
        <v>0.44203225806451618</v>
      </c>
      <c r="Q44" s="676">
        <v>0.44500000000000001</v>
      </c>
      <c r="R44" s="676">
        <v>0.45870967741935481</v>
      </c>
      <c r="S44" s="676">
        <v>0.376</v>
      </c>
      <c r="T44" s="676">
        <v>0.26296774193548383</v>
      </c>
      <c r="U44" s="676">
        <v>0.16441935483870967</v>
      </c>
      <c r="V44" s="676">
        <v>4.7483870967741933E-2</v>
      </c>
      <c r="W44" s="676">
        <v>0</v>
      </c>
      <c r="X44" s="676">
        <v>0</v>
      </c>
      <c r="Y44" s="676">
        <v>0</v>
      </c>
      <c r="Z44" s="676">
        <v>0</v>
      </c>
      <c r="AA44" s="676">
        <v>0</v>
      </c>
      <c r="AB44" s="676">
        <v>0</v>
      </c>
      <c r="AC44" s="677">
        <v>0</v>
      </c>
    </row>
    <row r="45" spans="2:37" x14ac:dyDescent="0.2">
      <c r="B45" s="758"/>
      <c r="D45" s="1001"/>
      <c r="E45" s="143">
        <v>11</v>
      </c>
      <c r="F45" s="675">
        <v>0</v>
      </c>
      <c r="G45" s="676">
        <v>0</v>
      </c>
      <c r="H45" s="676">
        <v>0</v>
      </c>
      <c r="I45" s="676">
        <v>0</v>
      </c>
      <c r="J45" s="676">
        <v>0</v>
      </c>
      <c r="K45" s="676">
        <v>0</v>
      </c>
      <c r="L45" s="676">
        <v>2.7666666666666664E-3</v>
      </c>
      <c r="M45" s="676">
        <v>8.7499999999999994E-2</v>
      </c>
      <c r="N45" s="676">
        <v>0.19273333333333331</v>
      </c>
      <c r="O45" s="676">
        <v>0.28533333333333333</v>
      </c>
      <c r="P45" s="676">
        <v>0.34563333333333335</v>
      </c>
      <c r="Q45" s="676">
        <v>0.37606666666666666</v>
      </c>
      <c r="R45" s="676">
        <v>0.33943333333333336</v>
      </c>
      <c r="S45" s="676">
        <v>0.28023333333333333</v>
      </c>
      <c r="T45" s="676">
        <v>0.19343333333333335</v>
      </c>
      <c r="U45" s="676">
        <v>7.9933333333333342E-2</v>
      </c>
      <c r="V45" s="676">
        <v>5.0000000000000001E-4</v>
      </c>
      <c r="W45" s="676">
        <v>0</v>
      </c>
      <c r="X45" s="676">
        <v>0</v>
      </c>
      <c r="Y45" s="676">
        <v>0</v>
      </c>
      <c r="Z45" s="676">
        <v>0</v>
      </c>
      <c r="AA45" s="676">
        <v>0</v>
      </c>
      <c r="AB45" s="676">
        <v>0</v>
      </c>
      <c r="AC45" s="677">
        <v>0</v>
      </c>
    </row>
    <row r="46" spans="2:37" ht="16" thickBot="1" x14ac:dyDescent="0.25">
      <c r="B46" s="758"/>
      <c r="D46" s="1002"/>
      <c r="E46" s="85">
        <v>12</v>
      </c>
      <c r="F46" s="678">
        <v>0</v>
      </c>
      <c r="G46" s="679">
        <v>0</v>
      </c>
      <c r="H46" s="679">
        <v>0</v>
      </c>
      <c r="I46" s="679">
        <v>0</v>
      </c>
      <c r="J46" s="679">
        <v>0</v>
      </c>
      <c r="K46" s="679">
        <v>0</v>
      </c>
      <c r="L46" s="679">
        <v>0</v>
      </c>
      <c r="M46" s="679">
        <v>2.7161290322580644E-2</v>
      </c>
      <c r="N46" s="679">
        <v>0.12138709677419356</v>
      </c>
      <c r="O46" s="679">
        <v>0.18967741935483873</v>
      </c>
      <c r="P46" s="679">
        <v>0.2533548387096774</v>
      </c>
      <c r="Q46" s="679">
        <v>0.27970967741935482</v>
      </c>
      <c r="R46" s="679">
        <v>0.27270967741935481</v>
      </c>
      <c r="S46" s="679">
        <v>0.22045161290322579</v>
      </c>
      <c r="T46" s="679">
        <v>0.13067741935483873</v>
      </c>
      <c r="U46" s="679">
        <v>4.6741935483870969E-2</v>
      </c>
      <c r="V46" s="679">
        <v>0</v>
      </c>
      <c r="W46" s="679">
        <v>0</v>
      </c>
      <c r="X46" s="679">
        <v>0</v>
      </c>
      <c r="Y46" s="679">
        <v>0</v>
      </c>
      <c r="Z46" s="679">
        <v>0</v>
      </c>
      <c r="AA46" s="679">
        <v>0</v>
      </c>
      <c r="AB46" s="679">
        <v>0</v>
      </c>
      <c r="AC46" s="680">
        <v>0</v>
      </c>
    </row>
    <row r="47" spans="2:37" ht="16" thickBot="1" x14ac:dyDescent="0.25">
      <c r="B47" s="758"/>
    </row>
    <row r="48" spans="2:37" ht="16" x14ac:dyDescent="0.2">
      <c r="B48" s="758"/>
      <c r="D48" s="994" t="s">
        <v>597</v>
      </c>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6"/>
    </row>
    <row r="49" spans="2:29" ht="16" x14ac:dyDescent="0.2">
      <c r="B49" s="758"/>
      <c r="D49" s="997" t="s">
        <v>588</v>
      </c>
      <c r="E49" s="998"/>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9"/>
    </row>
    <row r="50" spans="2:29" x14ac:dyDescent="0.2">
      <c r="B50" s="758"/>
      <c r="D50" s="1000" t="s">
        <v>587</v>
      </c>
      <c r="E50" s="143"/>
      <c r="F50" s="393">
        <v>0</v>
      </c>
      <c r="G50" s="393">
        <v>1</v>
      </c>
      <c r="H50" s="393">
        <v>2</v>
      </c>
      <c r="I50" s="393">
        <v>3</v>
      </c>
      <c r="J50" s="393">
        <v>4</v>
      </c>
      <c r="K50" s="393">
        <v>5</v>
      </c>
      <c r="L50" s="393">
        <v>6</v>
      </c>
      <c r="M50" s="393">
        <v>7</v>
      </c>
      <c r="N50" s="393">
        <v>8</v>
      </c>
      <c r="O50" s="393">
        <v>9</v>
      </c>
      <c r="P50" s="393">
        <v>10</v>
      </c>
      <c r="Q50" s="393">
        <v>11</v>
      </c>
      <c r="R50" s="393">
        <v>12</v>
      </c>
      <c r="S50" s="393">
        <v>13</v>
      </c>
      <c r="T50" s="393">
        <v>14</v>
      </c>
      <c r="U50" s="393">
        <v>15</v>
      </c>
      <c r="V50" s="393">
        <v>16</v>
      </c>
      <c r="W50" s="393">
        <v>17</v>
      </c>
      <c r="X50" s="393">
        <v>18</v>
      </c>
      <c r="Y50" s="393">
        <v>19</v>
      </c>
      <c r="Z50" s="393">
        <v>20</v>
      </c>
      <c r="AA50" s="393">
        <v>21</v>
      </c>
      <c r="AB50" s="393">
        <v>22</v>
      </c>
      <c r="AC50" s="394">
        <v>23</v>
      </c>
    </row>
    <row r="51" spans="2:29" x14ac:dyDescent="0.2">
      <c r="B51" s="758"/>
      <c r="D51" s="1001"/>
      <c r="E51" s="143">
        <v>1</v>
      </c>
      <c r="F51" s="672">
        <v>0</v>
      </c>
      <c r="G51" s="673">
        <v>0</v>
      </c>
      <c r="H51" s="673">
        <v>0</v>
      </c>
      <c r="I51" s="673">
        <v>0</v>
      </c>
      <c r="J51" s="673">
        <v>0</v>
      </c>
      <c r="K51" s="673">
        <v>0</v>
      </c>
      <c r="L51" s="673">
        <v>0</v>
      </c>
      <c r="M51" s="673">
        <v>0</v>
      </c>
      <c r="N51" s="673">
        <v>0</v>
      </c>
      <c r="O51" s="673">
        <v>0</v>
      </c>
      <c r="P51" s="673">
        <v>2.3225806451612905E-2</v>
      </c>
      <c r="Q51" s="673">
        <v>4.438709677419355E-2</v>
      </c>
      <c r="R51" s="673">
        <v>5.4354838709677417E-2</v>
      </c>
      <c r="S51" s="673">
        <v>6.3516129032258062E-2</v>
      </c>
      <c r="T51" s="673">
        <v>5.6161290322580645E-2</v>
      </c>
      <c r="U51" s="673">
        <v>4.4709677419354839E-2</v>
      </c>
      <c r="V51" s="673">
        <v>9.9354838709677425E-3</v>
      </c>
      <c r="W51" s="673">
        <v>0</v>
      </c>
      <c r="X51" s="673">
        <v>0</v>
      </c>
      <c r="Y51" s="673">
        <v>0</v>
      </c>
      <c r="Z51" s="673">
        <v>0</v>
      </c>
      <c r="AA51" s="673">
        <v>0</v>
      </c>
      <c r="AB51" s="673">
        <v>0</v>
      </c>
      <c r="AC51" s="674">
        <v>0</v>
      </c>
    </row>
    <row r="52" spans="2:29" x14ac:dyDescent="0.2">
      <c r="B52" s="758"/>
      <c r="D52" s="1001"/>
      <c r="E52" s="143">
        <v>2</v>
      </c>
      <c r="F52" s="675">
        <v>0</v>
      </c>
      <c r="G52" s="676">
        <v>0</v>
      </c>
      <c r="H52" s="676">
        <v>0</v>
      </c>
      <c r="I52" s="676">
        <v>0</v>
      </c>
      <c r="J52" s="676">
        <v>0</v>
      </c>
      <c r="K52" s="676">
        <v>0</v>
      </c>
      <c r="L52" s="676">
        <v>0</v>
      </c>
      <c r="M52" s="676">
        <v>0</v>
      </c>
      <c r="N52" s="676">
        <v>1.1071428571428571E-3</v>
      </c>
      <c r="O52" s="676">
        <v>2.0357142857142858E-2</v>
      </c>
      <c r="P52" s="676">
        <v>5.8392857142857149E-2</v>
      </c>
      <c r="Q52" s="676">
        <v>8.6249999999999993E-2</v>
      </c>
      <c r="R52" s="676">
        <v>0.10332142857142856</v>
      </c>
      <c r="S52" s="676">
        <v>0.13717857142857143</v>
      </c>
      <c r="T52" s="676">
        <v>0.12917857142857142</v>
      </c>
      <c r="U52" s="676">
        <v>9.7464285714285712E-2</v>
      </c>
      <c r="V52" s="676">
        <v>7.4249999999999997E-2</v>
      </c>
      <c r="W52" s="676">
        <v>2.1142857142857144E-2</v>
      </c>
      <c r="X52" s="676">
        <v>0</v>
      </c>
      <c r="Y52" s="676">
        <v>0</v>
      </c>
      <c r="Z52" s="676">
        <v>0</v>
      </c>
      <c r="AA52" s="676">
        <v>0</v>
      </c>
      <c r="AB52" s="676">
        <v>0</v>
      </c>
      <c r="AC52" s="677">
        <v>0</v>
      </c>
    </row>
    <row r="53" spans="2:29" x14ac:dyDescent="0.2">
      <c r="B53" s="758"/>
      <c r="D53" s="1001"/>
      <c r="E53" s="143">
        <v>3</v>
      </c>
      <c r="F53" s="675">
        <v>0</v>
      </c>
      <c r="G53" s="676">
        <v>0</v>
      </c>
      <c r="H53" s="676">
        <v>0</v>
      </c>
      <c r="I53" s="676">
        <v>0</v>
      </c>
      <c r="J53" s="676">
        <v>0</v>
      </c>
      <c r="K53" s="676">
        <v>0</v>
      </c>
      <c r="L53" s="676">
        <v>0</v>
      </c>
      <c r="M53" s="676">
        <v>1.0870967741935484E-2</v>
      </c>
      <c r="N53" s="676">
        <v>5.2096774193548384E-2</v>
      </c>
      <c r="O53" s="676">
        <v>0.11638709677419355</v>
      </c>
      <c r="P53" s="676">
        <v>0.17829032258064514</v>
      </c>
      <c r="Q53" s="676">
        <v>0.21606451612903227</v>
      </c>
      <c r="R53" s="676">
        <v>0.24890322580645161</v>
      </c>
      <c r="S53" s="676">
        <v>0.29651612903225805</v>
      </c>
      <c r="T53" s="676">
        <v>0.27593548387096772</v>
      </c>
      <c r="U53" s="676">
        <v>0.23054838709677419</v>
      </c>
      <c r="V53" s="676">
        <v>0.18609677419354839</v>
      </c>
      <c r="W53" s="676">
        <v>0.10590322580645162</v>
      </c>
      <c r="X53" s="676">
        <v>3.7161290322580649E-2</v>
      </c>
      <c r="Y53" s="676">
        <v>1.5161290322580644E-3</v>
      </c>
      <c r="Z53" s="676">
        <v>0</v>
      </c>
      <c r="AA53" s="676">
        <v>0</v>
      </c>
      <c r="AB53" s="676">
        <v>0</v>
      </c>
      <c r="AC53" s="677">
        <v>0</v>
      </c>
    </row>
    <row r="54" spans="2:29" x14ac:dyDescent="0.2">
      <c r="B54" s="758"/>
      <c r="D54" s="1001"/>
      <c r="E54" s="143">
        <v>4</v>
      </c>
      <c r="F54" s="675">
        <v>0</v>
      </c>
      <c r="G54" s="676">
        <v>0</v>
      </c>
      <c r="H54" s="676">
        <v>0</v>
      </c>
      <c r="I54" s="676">
        <v>0</v>
      </c>
      <c r="J54" s="676">
        <v>0</v>
      </c>
      <c r="K54" s="676">
        <v>2.3333333333333333E-4</v>
      </c>
      <c r="L54" s="676">
        <v>2.6466666666666666E-2</v>
      </c>
      <c r="M54" s="676">
        <v>9.3866666666666654E-2</v>
      </c>
      <c r="N54" s="676">
        <v>0.16526666666666667</v>
      </c>
      <c r="O54" s="676">
        <v>0.25559999999999999</v>
      </c>
      <c r="P54" s="676">
        <v>0.34503333333333336</v>
      </c>
      <c r="Q54" s="676">
        <v>0.40203333333333335</v>
      </c>
      <c r="R54" s="676">
        <v>0.38969999999999999</v>
      </c>
      <c r="S54" s="676">
        <v>0.3967</v>
      </c>
      <c r="T54" s="676">
        <v>0.39226666666666665</v>
      </c>
      <c r="U54" s="676">
        <v>0.34016666666666667</v>
      </c>
      <c r="V54" s="676">
        <v>0.29270000000000002</v>
      </c>
      <c r="W54" s="676">
        <v>0.23103333333333334</v>
      </c>
      <c r="X54" s="676">
        <v>0.11883333333333333</v>
      </c>
      <c r="Y54" s="676">
        <v>4.0933333333333329E-2</v>
      </c>
      <c r="Z54" s="676">
        <v>3.3666666666666667E-3</v>
      </c>
      <c r="AA54" s="676">
        <v>0</v>
      </c>
      <c r="AB54" s="676">
        <v>0</v>
      </c>
      <c r="AC54" s="677">
        <v>0</v>
      </c>
    </row>
    <row r="55" spans="2:29" x14ac:dyDescent="0.2">
      <c r="B55" s="758"/>
      <c r="D55" s="1001"/>
      <c r="E55" s="143">
        <v>5</v>
      </c>
      <c r="F55" s="675">
        <v>0</v>
      </c>
      <c r="G55" s="676">
        <v>0</v>
      </c>
      <c r="H55" s="676">
        <v>0</v>
      </c>
      <c r="I55" s="676">
        <v>0</v>
      </c>
      <c r="J55" s="676">
        <v>6.7741935483870959E-4</v>
      </c>
      <c r="K55" s="676">
        <v>2.4064516129032258E-2</v>
      </c>
      <c r="L55" s="676">
        <v>9.3870967741935485E-2</v>
      </c>
      <c r="M55" s="676">
        <v>0.17948387096774193</v>
      </c>
      <c r="N55" s="676">
        <v>0.28329032258064518</v>
      </c>
      <c r="O55" s="676">
        <v>0.38832258064516129</v>
      </c>
      <c r="P55" s="676">
        <v>0.46438709677419354</v>
      </c>
      <c r="Q55" s="676">
        <v>0.52845161290322584</v>
      </c>
      <c r="R55" s="676">
        <v>0.58229032258064517</v>
      </c>
      <c r="S55" s="676">
        <v>0.5964516129032259</v>
      </c>
      <c r="T55" s="676">
        <v>0.55225806451612902</v>
      </c>
      <c r="U55" s="676">
        <v>0.49780645161290321</v>
      </c>
      <c r="V55" s="676">
        <v>0.39977419354838706</v>
      </c>
      <c r="W55" s="676">
        <v>0.32716129032258068</v>
      </c>
      <c r="X55" s="676">
        <v>0.2220967741935484</v>
      </c>
      <c r="Y55" s="676">
        <v>0.12116129032258063</v>
      </c>
      <c r="Z55" s="676">
        <v>4.2580645161290322E-2</v>
      </c>
      <c r="AA55" s="676">
        <v>2.6451612903225807E-3</v>
      </c>
      <c r="AB55" s="676">
        <v>0</v>
      </c>
      <c r="AC55" s="677">
        <v>0</v>
      </c>
    </row>
    <row r="56" spans="2:29" x14ac:dyDescent="0.2">
      <c r="B56" s="758"/>
      <c r="D56" s="1001"/>
      <c r="E56" s="143">
        <v>6</v>
      </c>
      <c r="F56" s="675">
        <v>0</v>
      </c>
      <c r="G56" s="676">
        <v>0</v>
      </c>
      <c r="H56" s="676">
        <v>0</v>
      </c>
      <c r="I56" s="676">
        <v>0</v>
      </c>
      <c r="J56" s="676">
        <v>9.4333333333333335E-3</v>
      </c>
      <c r="K56" s="676">
        <v>4.3799999999999999E-2</v>
      </c>
      <c r="L56" s="676">
        <v>0.10423333333333333</v>
      </c>
      <c r="M56" s="676">
        <v>0.19213333333333332</v>
      </c>
      <c r="N56" s="676">
        <v>0.28413333333333335</v>
      </c>
      <c r="O56" s="676">
        <v>0.36166666666666669</v>
      </c>
      <c r="P56" s="676">
        <v>0.41699999999999998</v>
      </c>
      <c r="Q56" s="676">
        <v>0.49653333333333338</v>
      </c>
      <c r="R56" s="676">
        <v>0.56443333333333323</v>
      </c>
      <c r="S56" s="676">
        <v>0.58050000000000002</v>
      </c>
      <c r="T56" s="676">
        <v>0.5702666666666667</v>
      </c>
      <c r="U56" s="676">
        <v>0.55113333333333336</v>
      </c>
      <c r="V56" s="676">
        <v>0.47423333333333334</v>
      </c>
      <c r="W56" s="676">
        <v>0.39303333333333335</v>
      </c>
      <c r="X56" s="676">
        <v>0.28663333333333335</v>
      </c>
      <c r="Y56" s="676">
        <v>0.13463333333333333</v>
      </c>
      <c r="Z56" s="676">
        <v>6.6466666666666674E-2</v>
      </c>
      <c r="AA56" s="676">
        <v>2.2166666666666668E-2</v>
      </c>
      <c r="AB56" s="676">
        <v>0</v>
      </c>
      <c r="AC56" s="677">
        <v>0</v>
      </c>
    </row>
    <row r="57" spans="2:29" x14ac:dyDescent="0.2">
      <c r="B57" s="758"/>
      <c r="D57" s="1001"/>
      <c r="E57" s="143">
        <v>7</v>
      </c>
      <c r="F57" s="675">
        <v>0</v>
      </c>
      <c r="G57" s="676">
        <v>0</v>
      </c>
      <c r="H57" s="676">
        <v>0</v>
      </c>
      <c r="I57" s="676">
        <v>0</v>
      </c>
      <c r="J57" s="676">
        <v>1.7419354838709678E-3</v>
      </c>
      <c r="K57" s="676">
        <v>2.5354838709677419E-2</v>
      </c>
      <c r="L57" s="676">
        <v>7.3387096774193555E-2</v>
      </c>
      <c r="M57" s="676">
        <v>0.13674193548387098</v>
      </c>
      <c r="N57" s="676">
        <v>0.20664516129032259</v>
      </c>
      <c r="O57" s="676">
        <v>0.31032258064516127</v>
      </c>
      <c r="P57" s="676">
        <v>0.37151612903225806</v>
      </c>
      <c r="Q57" s="676">
        <v>0.40254838709677421</v>
      </c>
      <c r="R57" s="676">
        <v>0.46741935483870967</v>
      </c>
      <c r="S57" s="676">
        <v>0.47064516129032258</v>
      </c>
      <c r="T57" s="676">
        <v>0.44287096774193546</v>
      </c>
      <c r="U57" s="676">
        <v>0.39083870967741935</v>
      </c>
      <c r="V57" s="676">
        <v>0.34380645161290324</v>
      </c>
      <c r="W57" s="676">
        <v>0.30177419354838708</v>
      </c>
      <c r="X57" s="676">
        <v>0.21141935483870966</v>
      </c>
      <c r="Y57" s="676">
        <v>0.12741935483870967</v>
      </c>
      <c r="Z57" s="676">
        <v>5.8225806451612905E-2</v>
      </c>
      <c r="AA57" s="676">
        <v>1.1451612903225807E-2</v>
      </c>
      <c r="AB57" s="676">
        <v>0</v>
      </c>
      <c r="AC57" s="677">
        <v>0</v>
      </c>
    </row>
    <row r="58" spans="2:29" x14ac:dyDescent="0.2">
      <c r="B58" s="758"/>
      <c r="D58" s="1001"/>
      <c r="E58" s="143">
        <v>8</v>
      </c>
      <c r="F58" s="675">
        <v>0</v>
      </c>
      <c r="G58" s="676">
        <v>0</v>
      </c>
      <c r="H58" s="676">
        <v>0</v>
      </c>
      <c r="I58" s="676">
        <v>0</v>
      </c>
      <c r="J58" s="676">
        <v>0</v>
      </c>
      <c r="K58" s="676">
        <v>2.5483870967741933E-3</v>
      </c>
      <c r="L58" s="676">
        <v>2.7741935483870966E-2</v>
      </c>
      <c r="M58" s="676">
        <v>8.106451612903226E-2</v>
      </c>
      <c r="N58" s="676">
        <v>0.18887096774193549</v>
      </c>
      <c r="O58" s="676">
        <v>0.27838709677419354</v>
      </c>
      <c r="P58" s="676">
        <v>0.344258064516129</v>
      </c>
      <c r="Q58" s="676">
        <v>0.39619354838709675</v>
      </c>
      <c r="R58" s="676">
        <v>0.43551612903225806</v>
      </c>
      <c r="S58" s="676">
        <v>0.45622580645161293</v>
      </c>
      <c r="T58" s="676">
        <v>0.43554838709677418</v>
      </c>
      <c r="U58" s="676">
        <v>0.38167741935483873</v>
      </c>
      <c r="V58" s="676">
        <v>0.32332258064516128</v>
      </c>
      <c r="W58" s="676">
        <v>0.24838709677419354</v>
      </c>
      <c r="X58" s="676">
        <v>0.12161290322580645</v>
      </c>
      <c r="Y58" s="676">
        <v>5.0903225806451617E-2</v>
      </c>
      <c r="Z58" s="676">
        <v>1.3193548387096774E-2</v>
      </c>
      <c r="AA58" s="676">
        <v>0</v>
      </c>
      <c r="AB58" s="676">
        <v>0</v>
      </c>
      <c r="AC58" s="677">
        <v>0</v>
      </c>
    </row>
    <row r="59" spans="2:29" x14ac:dyDescent="0.2">
      <c r="B59" s="758"/>
      <c r="D59" s="1001"/>
      <c r="E59" s="143">
        <v>9</v>
      </c>
      <c r="F59" s="675">
        <v>0</v>
      </c>
      <c r="G59" s="676">
        <v>0</v>
      </c>
      <c r="H59" s="676">
        <v>0</v>
      </c>
      <c r="I59" s="676">
        <v>0</v>
      </c>
      <c r="J59" s="676">
        <v>0</v>
      </c>
      <c r="K59" s="676">
        <v>0</v>
      </c>
      <c r="L59" s="676">
        <v>9.3333333333333332E-4</v>
      </c>
      <c r="M59" s="676">
        <v>2.5766666666666667E-2</v>
      </c>
      <c r="N59" s="676">
        <v>7.1866666666666662E-2</v>
      </c>
      <c r="O59" s="676">
        <v>0.16323333333333331</v>
      </c>
      <c r="P59" s="676">
        <v>0.23033333333333333</v>
      </c>
      <c r="Q59" s="676">
        <v>0.27929999999999999</v>
      </c>
      <c r="R59" s="676">
        <v>0.31196666666666661</v>
      </c>
      <c r="S59" s="676">
        <v>0.31813333333333332</v>
      </c>
      <c r="T59" s="676">
        <v>0.29423333333333335</v>
      </c>
      <c r="U59" s="676">
        <v>0.25003333333333333</v>
      </c>
      <c r="V59" s="676">
        <v>0.19756666666666667</v>
      </c>
      <c r="W59" s="676">
        <v>0.12869999999999998</v>
      </c>
      <c r="X59" s="676">
        <v>4.7333333333333338E-2</v>
      </c>
      <c r="Y59" s="676">
        <v>5.5333333333333328E-3</v>
      </c>
      <c r="Z59" s="676">
        <v>0</v>
      </c>
      <c r="AA59" s="676">
        <v>0</v>
      </c>
      <c r="AB59" s="676">
        <v>0</v>
      </c>
      <c r="AC59" s="677">
        <v>0</v>
      </c>
    </row>
    <row r="60" spans="2:29" x14ac:dyDescent="0.2">
      <c r="B60" s="758"/>
      <c r="D60" s="1001"/>
      <c r="E60" s="143">
        <v>10</v>
      </c>
      <c r="F60" s="675">
        <v>0</v>
      </c>
      <c r="G60" s="676">
        <v>0</v>
      </c>
      <c r="H60" s="676">
        <v>0</v>
      </c>
      <c r="I60" s="676">
        <v>0</v>
      </c>
      <c r="J60" s="676">
        <v>0</v>
      </c>
      <c r="K60" s="676">
        <v>0</v>
      </c>
      <c r="L60" s="676">
        <v>0</v>
      </c>
      <c r="M60" s="676">
        <v>5.8064516129032265E-4</v>
      </c>
      <c r="N60" s="676">
        <v>2.2870967741935484E-2</v>
      </c>
      <c r="O60" s="676">
        <v>6.7677419354838703E-2</v>
      </c>
      <c r="P60" s="676">
        <v>0.11309677419354838</v>
      </c>
      <c r="Q60" s="676">
        <v>0.14277419354838711</v>
      </c>
      <c r="R60" s="676">
        <v>0.1785483870967742</v>
      </c>
      <c r="S60" s="676">
        <v>0.16493548387096774</v>
      </c>
      <c r="T60" s="676">
        <v>0.13625806451612901</v>
      </c>
      <c r="U60" s="676">
        <v>0.10896774193548388</v>
      </c>
      <c r="V60" s="676">
        <v>6.82258064516129E-2</v>
      </c>
      <c r="W60" s="676">
        <v>1.1387096774193549E-2</v>
      </c>
      <c r="X60" s="676">
        <v>1.9354838709677419E-4</v>
      </c>
      <c r="Y60" s="676">
        <v>0</v>
      </c>
      <c r="Z60" s="676">
        <v>0</v>
      </c>
      <c r="AA60" s="676">
        <v>0</v>
      </c>
      <c r="AB60" s="676">
        <v>0</v>
      </c>
      <c r="AC60" s="677">
        <v>0</v>
      </c>
    </row>
    <row r="61" spans="2:29" x14ac:dyDescent="0.2">
      <c r="B61" s="758"/>
      <c r="D61" s="1001"/>
      <c r="E61" s="143">
        <v>11</v>
      </c>
      <c r="F61" s="675">
        <v>0</v>
      </c>
      <c r="G61" s="676">
        <v>0</v>
      </c>
      <c r="H61" s="676">
        <v>0</v>
      </c>
      <c r="I61" s="676">
        <v>0</v>
      </c>
      <c r="J61" s="676">
        <v>0</v>
      </c>
      <c r="K61" s="676">
        <v>0</v>
      </c>
      <c r="L61" s="676">
        <v>0</v>
      </c>
      <c r="M61" s="676">
        <v>0</v>
      </c>
      <c r="N61" s="676">
        <v>0</v>
      </c>
      <c r="O61" s="676">
        <v>1.4833333333333334E-2</v>
      </c>
      <c r="P61" s="676">
        <v>3.3633333333333335E-2</v>
      </c>
      <c r="Q61" s="676">
        <v>5.5633333333333333E-2</v>
      </c>
      <c r="R61" s="676">
        <v>7.3533333333333326E-2</v>
      </c>
      <c r="S61" s="676">
        <v>7.3166666666666672E-2</v>
      </c>
      <c r="T61" s="676">
        <v>5.9799999999999999E-2</v>
      </c>
      <c r="U61" s="676">
        <v>4.4166666666666667E-2</v>
      </c>
      <c r="V61" s="676">
        <v>8.266666666666667E-3</v>
      </c>
      <c r="W61" s="676">
        <v>0</v>
      </c>
      <c r="X61" s="676">
        <v>0</v>
      </c>
      <c r="Y61" s="676">
        <v>0</v>
      </c>
      <c r="Z61" s="676">
        <v>0</v>
      </c>
      <c r="AA61" s="676">
        <v>0</v>
      </c>
      <c r="AB61" s="676">
        <v>0</v>
      </c>
      <c r="AC61" s="677">
        <v>0</v>
      </c>
    </row>
    <row r="62" spans="2:29" ht="16" thickBot="1" x14ac:dyDescent="0.25">
      <c r="B62" s="759"/>
      <c r="D62" s="1002"/>
      <c r="E62" s="85">
        <v>12</v>
      </c>
      <c r="F62" s="678">
        <v>0</v>
      </c>
      <c r="G62" s="679">
        <v>0</v>
      </c>
      <c r="H62" s="679">
        <v>0</v>
      </c>
      <c r="I62" s="679">
        <v>0</v>
      </c>
      <c r="J62" s="679">
        <v>0</v>
      </c>
      <c r="K62" s="679">
        <v>0</v>
      </c>
      <c r="L62" s="679">
        <v>0</v>
      </c>
      <c r="M62" s="679">
        <v>0</v>
      </c>
      <c r="N62" s="679">
        <v>0</v>
      </c>
      <c r="O62" s="679">
        <v>0</v>
      </c>
      <c r="P62" s="679">
        <v>1.232258064516129E-2</v>
      </c>
      <c r="Q62" s="679">
        <v>3.0322580645161291E-2</v>
      </c>
      <c r="R62" s="679">
        <v>3.7548387096774195E-2</v>
      </c>
      <c r="S62" s="679">
        <v>4.0354838709677418E-2</v>
      </c>
      <c r="T62" s="679">
        <v>3.3967741935483874E-2</v>
      </c>
      <c r="U62" s="679">
        <v>1.6032258064516129E-2</v>
      </c>
      <c r="V62" s="679">
        <v>0</v>
      </c>
      <c r="W62" s="679">
        <v>0</v>
      </c>
      <c r="X62" s="679">
        <v>0</v>
      </c>
      <c r="Y62" s="679">
        <v>0</v>
      </c>
      <c r="Z62" s="679">
        <v>0</v>
      </c>
      <c r="AA62" s="679">
        <v>0</v>
      </c>
      <c r="AB62" s="679">
        <v>0</v>
      </c>
      <c r="AC62" s="680">
        <v>0</v>
      </c>
    </row>
    <row r="66" spans="2:32" ht="16" thickBot="1" x14ac:dyDescent="0.25"/>
    <row r="67" spans="2:32" ht="20" thickBot="1" x14ac:dyDescent="0.3">
      <c r="B67" s="1046" t="s">
        <v>51</v>
      </c>
      <c r="D67" s="1022" t="s">
        <v>933</v>
      </c>
      <c r="E67" s="1023"/>
      <c r="F67" s="1023"/>
      <c r="G67" s="1023"/>
      <c r="H67" s="1024">
        <f>((O6/1000)/H14*1)</f>
        <v>0.23255813953488375</v>
      </c>
      <c r="I67" s="1024"/>
      <c r="J67" s="1025"/>
      <c r="L67" s="456"/>
      <c r="M67" s="457"/>
      <c r="N67" s="457"/>
      <c r="O67" s="457"/>
      <c r="P67" s="457"/>
      <c r="Q67" s="457"/>
      <c r="R67" s="457"/>
      <c r="S67" s="457"/>
      <c r="T67" s="458"/>
      <c r="U67" s="449"/>
    </row>
    <row r="68" spans="2:32" ht="19" x14ac:dyDescent="0.25">
      <c r="B68" s="1047"/>
      <c r="L68" s="464"/>
      <c r="M68" s="465"/>
      <c r="N68" s="465"/>
      <c r="O68" s="465"/>
      <c r="P68" s="465"/>
      <c r="Q68" s="465"/>
      <c r="R68" s="465"/>
      <c r="S68" s="465"/>
      <c r="T68" s="466"/>
      <c r="U68" s="449"/>
      <c r="V68" s="449"/>
    </row>
    <row r="69" spans="2:32" ht="19" x14ac:dyDescent="0.25">
      <c r="B69" s="1047"/>
      <c r="D69" s="1038"/>
      <c r="E69" s="1038"/>
      <c r="F69" s="1038"/>
      <c r="G69" s="1038"/>
      <c r="H69" s="1039"/>
      <c r="I69" s="1039"/>
      <c r="J69" s="1039"/>
      <c r="L69" s="464"/>
      <c r="M69" s="465"/>
      <c r="N69" s="465"/>
      <c r="O69" s="465"/>
      <c r="P69" s="465"/>
      <c r="Q69" s="465"/>
      <c r="R69" s="465"/>
      <c r="S69" s="465"/>
      <c r="T69" s="466"/>
      <c r="U69" s="449"/>
      <c r="V69" s="449"/>
    </row>
    <row r="70" spans="2:32" ht="19" x14ac:dyDescent="0.25">
      <c r="B70" s="1047"/>
      <c r="D70" s="1049"/>
      <c r="E70" s="1049"/>
      <c r="F70" s="1049"/>
      <c r="G70" s="1049"/>
      <c r="H70" s="1050"/>
      <c r="I70" s="1050"/>
      <c r="J70" s="1050"/>
      <c r="L70" s="459"/>
      <c r="M70" s="395"/>
      <c r="N70" s="395"/>
      <c r="O70" s="395"/>
      <c r="P70" s="395"/>
      <c r="Q70" s="395"/>
      <c r="R70" s="395"/>
      <c r="S70" s="395"/>
      <c r="T70" s="460"/>
      <c r="U70" s="225"/>
      <c r="V70" s="225"/>
    </row>
    <row r="71" spans="2:32" ht="19" x14ac:dyDescent="0.2">
      <c r="B71" s="1047"/>
      <c r="D71" s="1038"/>
      <c r="E71" s="1038"/>
      <c r="F71" s="1038"/>
      <c r="G71" s="1038"/>
      <c r="H71" s="1039"/>
      <c r="I71" s="1039"/>
      <c r="J71" s="1039"/>
      <c r="L71" s="461"/>
      <c r="M71" s="462"/>
      <c r="N71" s="462"/>
      <c r="O71" s="462"/>
      <c r="P71" s="462"/>
      <c r="Q71" s="462"/>
      <c r="R71" s="462"/>
      <c r="S71" s="462"/>
      <c r="T71" s="463"/>
      <c r="U71" s="169"/>
      <c r="V71" s="169"/>
    </row>
    <row r="72" spans="2:32" ht="19" x14ac:dyDescent="0.25">
      <c r="B72" s="1047"/>
      <c r="D72" s="1038"/>
      <c r="E72" s="1038"/>
      <c r="F72" s="1038"/>
      <c r="G72" s="1038"/>
      <c r="H72" s="1039"/>
      <c r="I72" s="1039"/>
      <c r="J72" s="1039"/>
      <c r="L72" s="464"/>
      <c r="M72" s="465"/>
      <c r="N72" s="465"/>
      <c r="O72" s="465"/>
      <c r="P72" s="465"/>
      <c r="Q72" s="465"/>
      <c r="R72" s="465"/>
      <c r="S72" s="465"/>
      <c r="T72" s="466"/>
      <c r="U72" s="449"/>
      <c r="V72" s="449"/>
    </row>
    <row r="73" spans="2:32" ht="19" x14ac:dyDescent="0.25">
      <c r="B73" s="1047"/>
      <c r="D73" s="242"/>
      <c r="E73" s="242"/>
      <c r="F73" s="242"/>
      <c r="G73" s="242"/>
      <c r="H73" s="474"/>
      <c r="I73" s="474"/>
      <c r="J73" s="474"/>
      <c r="L73" s="464"/>
      <c r="M73" s="465"/>
      <c r="N73" s="465"/>
      <c r="O73" s="465"/>
      <c r="P73" s="465"/>
      <c r="Q73" s="465"/>
      <c r="R73" s="465"/>
      <c r="S73" s="465"/>
      <c r="T73" s="466"/>
      <c r="U73" s="449"/>
      <c r="V73" s="449"/>
    </row>
    <row r="74" spans="2:32" ht="19" x14ac:dyDescent="0.25">
      <c r="B74" s="1047"/>
      <c r="D74" s="242"/>
      <c r="E74" s="242"/>
      <c r="F74" s="242"/>
      <c r="G74" s="242"/>
      <c r="H74" s="474"/>
      <c r="I74" s="474"/>
      <c r="J74" s="474"/>
      <c r="L74" s="464"/>
      <c r="M74" s="465"/>
      <c r="N74" s="465"/>
      <c r="O74" s="465"/>
      <c r="P74" s="465"/>
      <c r="Q74" s="465"/>
      <c r="R74" s="465"/>
      <c r="S74" s="465"/>
      <c r="T74" s="466"/>
      <c r="U74" s="449"/>
      <c r="V74" s="449"/>
    </row>
    <row r="75" spans="2:32" ht="19" x14ac:dyDescent="0.25">
      <c r="B75" s="1047"/>
      <c r="D75" s="1038"/>
      <c r="E75" s="1038"/>
      <c r="F75" s="1038"/>
      <c r="G75" s="1038"/>
      <c r="H75" s="1039"/>
      <c r="I75" s="1039"/>
      <c r="J75" s="1039"/>
      <c r="L75" s="464"/>
      <c r="M75" s="465"/>
      <c r="N75" s="465"/>
      <c r="O75" s="465"/>
      <c r="P75" s="465"/>
      <c r="Q75" s="465"/>
      <c r="R75" s="465"/>
      <c r="S75" s="465"/>
      <c r="T75" s="466"/>
      <c r="U75" s="449"/>
      <c r="V75" s="449"/>
    </row>
    <row r="76" spans="2:32" ht="19" x14ac:dyDescent="0.25">
      <c r="B76" s="1047"/>
      <c r="D76" s="1038"/>
      <c r="E76" s="1038"/>
      <c r="F76" s="1038"/>
      <c r="G76" s="1038"/>
      <c r="H76" s="1039"/>
      <c r="I76" s="1039"/>
      <c r="J76" s="1039"/>
      <c r="L76" s="453"/>
      <c r="M76" s="454"/>
      <c r="N76" s="454"/>
      <c r="O76" s="454"/>
      <c r="P76" s="454"/>
      <c r="Q76" s="454"/>
      <c r="R76" s="454"/>
      <c r="S76" s="454"/>
      <c r="T76" s="455"/>
      <c r="U76" s="449"/>
      <c r="V76" s="449"/>
    </row>
    <row r="77" spans="2:32" ht="19" x14ac:dyDescent="0.2">
      <c r="B77" s="1047"/>
      <c r="L77" s="169"/>
      <c r="M77" s="169"/>
      <c r="N77" s="169"/>
      <c r="O77" s="169"/>
      <c r="P77" s="169"/>
      <c r="Q77" s="169"/>
      <c r="R77" s="169"/>
      <c r="S77" s="169"/>
      <c r="T77" s="169"/>
      <c r="U77" s="169"/>
      <c r="V77" s="169"/>
    </row>
    <row r="78" spans="2:32" ht="20" thickBot="1" x14ac:dyDescent="0.3">
      <c r="B78" s="1047"/>
      <c r="O78" s="449"/>
    </row>
    <row r="79" spans="2:32" x14ac:dyDescent="0.2">
      <c r="B79" s="1047"/>
      <c r="D79" s="1026" t="s">
        <v>935</v>
      </c>
      <c r="E79" s="1027"/>
      <c r="F79" s="1027"/>
      <c r="G79" s="1027"/>
      <c r="H79" s="1027"/>
      <c r="I79" s="1027"/>
      <c r="J79" s="1027"/>
      <c r="K79" s="1027"/>
      <c r="L79" s="1027"/>
      <c r="M79" s="1027"/>
      <c r="N79" s="1027"/>
      <c r="O79" s="1027"/>
      <c r="P79" s="1027"/>
      <c r="Q79" s="1027"/>
      <c r="R79" s="1027"/>
      <c r="S79" s="1027"/>
      <c r="T79" s="1027"/>
      <c r="U79" s="1027"/>
      <c r="V79" s="1027"/>
      <c r="W79" s="1027"/>
      <c r="X79" s="1027"/>
      <c r="Y79" s="1027"/>
      <c r="Z79" s="1027"/>
      <c r="AA79" s="1027"/>
      <c r="AB79" s="1027"/>
      <c r="AC79" s="1027"/>
      <c r="AD79" s="1027"/>
      <c r="AE79" s="1027"/>
      <c r="AF79" s="1028"/>
    </row>
    <row r="80" spans="2:32" ht="16" thickBot="1" x14ac:dyDescent="0.25">
      <c r="B80" s="1047"/>
      <c r="D80" s="1029"/>
      <c r="E80" s="1030"/>
      <c r="F80" s="1030"/>
      <c r="G80" s="1030"/>
      <c r="H80" s="1030"/>
      <c r="I80" s="1030"/>
      <c r="J80" s="1030"/>
      <c r="K80" s="1030"/>
      <c r="L80" s="1030"/>
      <c r="M80" s="1030"/>
      <c r="N80" s="1030"/>
      <c r="O80" s="1030"/>
      <c r="P80" s="1030"/>
      <c r="Q80" s="1030"/>
      <c r="R80" s="1030"/>
      <c r="S80" s="1030"/>
      <c r="T80" s="1030"/>
      <c r="U80" s="1030"/>
      <c r="V80" s="1030"/>
      <c r="W80" s="1030"/>
      <c r="X80" s="1030"/>
      <c r="Y80" s="1030"/>
      <c r="Z80" s="1030"/>
      <c r="AA80" s="1030"/>
      <c r="AB80" s="1030"/>
      <c r="AC80" s="1030"/>
      <c r="AD80" s="1030"/>
      <c r="AE80" s="1030"/>
      <c r="AF80" s="1031"/>
    </row>
    <row r="81" spans="2:32" ht="16" thickBot="1" x14ac:dyDescent="0.25">
      <c r="B81" s="1047"/>
      <c r="D81" s="1032" t="s">
        <v>934</v>
      </c>
      <c r="E81" s="1033"/>
      <c r="F81" s="1033"/>
      <c r="G81" s="1033"/>
      <c r="H81" s="1033"/>
      <c r="I81" s="1033"/>
      <c r="J81" s="1033"/>
      <c r="K81" s="1033"/>
      <c r="L81" s="1033"/>
      <c r="M81" s="1033"/>
      <c r="N81" s="1033"/>
      <c r="O81" s="1033"/>
      <c r="P81" s="1033"/>
      <c r="Q81" s="1033"/>
      <c r="R81" s="1033"/>
      <c r="S81" s="1033"/>
      <c r="T81" s="1033"/>
      <c r="U81" s="1033"/>
      <c r="V81" s="1033"/>
      <c r="W81" s="1033"/>
      <c r="X81" s="1033"/>
      <c r="Y81" s="1033"/>
      <c r="Z81" s="1033"/>
      <c r="AA81" s="1033"/>
      <c r="AB81" s="1033"/>
      <c r="AC81" s="1033"/>
      <c r="AD81" s="1033"/>
      <c r="AE81" s="1033"/>
      <c r="AF81" s="1034"/>
    </row>
    <row r="82" spans="2:32" ht="19" customHeight="1" x14ac:dyDescent="0.2">
      <c r="B82" s="1047"/>
      <c r="D82" s="1035" t="s">
        <v>588</v>
      </c>
      <c r="E82" s="1036"/>
      <c r="F82" s="1036"/>
      <c r="G82" s="1036"/>
      <c r="H82" s="1036"/>
      <c r="I82" s="1036"/>
      <c r="J82" s="1036"/>
      <c r="K82" s="1036"/>
      <c r="L82" s="1036"/>
      <c r="M82" s="1036"/>
      <c r="N82" s="1036"/>
      <c r="O82" s="1036"/>
      <c r="P82" s="1036"/>
      <c r="Q82" s="1036"/>
      <c r="R82" s="1036"/>
      <c r="S82" s="1036"/>
      <c r="T82" s="1036"/>
      <c r="U82" s="1036"/>
      <c r="V82" s="1036"/>
      <c r="W82" s="1036"/>
      <c r="X82" s="1036"/>
      <c r="Y82" s="1036"/>
      <c r="Z82" s="1036"/>
      <c r="AA82" s="1036"/>
      <c r="AB82" s="1036"/>
      <c r="AC82" s="1037"/>
      <c r="AD82" s="1015" t="s">
        <v>600</v>
      </c>
      <c r="AE82" s="1015" t="s">
        <v>593</v>
      </c>
      <c r="AF82" s="1017" t="s">
        <v>601</v>
      </c>
    </row>
    <row r="83" spans="2:32" x14ac:dyDescent="0.2">
      <c r="B83" s="1047"/>
      <c r="D83" s="1019" t="s">
        <v>587</v>
      </c>
      <c r="E83" s="175"/>
      <c r="F83" s="176">
        <v>0</v>
      </c>
      <c r="G83" s="176">
        <v>1</v>
      </c>
      <c r="H83" s="176">
        <v>2</v>
      </c>
      <c r="I83" s="176">
        <v>3</v>
      </c>
      <c r="J83" s="176">
        <v>4</v>
      </c>
      <c r="K83" s="176">
        <v>5</v>
      </c>
      <c r="L83" s="176">
        <v>6</v>
      </c>
      <c r="M83" s="176">
        <v>7</v>
      </c>
      <c r="N83" s="176">
        <v>8</v>
      </c>
      <c r="O83" s="176">
        <v>9</v>
      </c>
      <c r="P83" s="176">
        <v>10</v>
      </c>
      <c r="Q83" s="176">
        <v>11</v>
      </c>
      <c r="R83" s="176">
        <v>12</v>
      </c>
      <c r="S83" s="176">
        <v>13</v>
      </c>
      <c r="T83" s="176">
        <v>14</v>
      </c>
      <c r="U83" s="176">
        <v>15</v>
      </c>
      <c r="V83" s="176">
        <v>16</v>
      </c>
      <c r="W83" s="176">
        <v>17</v>
      </c>
      <c r="X83" s="176">
        <v>18</v>
      </c>
      <c r="Y83" s="176">
        <v>19</v>
      </c>
      <c r="Z83" s="176">
        <v>20</v>
      </c>
      <c r="AA83" s="176">
        <v>21</v>
      </c>
      <c r="AB83" s="176">
        <v>22</v>
      </c>
      <c r="AC83" s="177">
        <v>23</v>
      </c>
      <c r="AD83" s="1016"/>
      <c r="AE83" s="1016"/>
      <c r="AF83" s="1018"/>
    </row>
    <row r="84" spans="2:32" x14ac:dyDescent="0.2">
      <c r="B84" s="1047"/>
      <c r="D84" s="1019"/>
      <c r="E84" s="178">
        <v>1</v>
      </c>
      <c r="F84" s="172">
        <f t="shared" ref="F84:AC84" si="0">$H$14*$H$67*F19*$H$13</f>
        <v>0</v>
      </c>
      <c r="G84" s="53">
        <f t="shared" si="0"/>
        <v>0</v>
      </c>
      <c r="H84" s="53">
        <f t="shared" si="0"/>
        <v>0</v>
      </c>
      <c r="I84" s="53">
        <f t="shared" si="0"/>
        <v>0</v>
      </c>
      <c r="J84" s="53">
        <f t="shared" si="0"/>
        <v>0</v>
      </c>
      <c r="K84" s="53">
        <f t="shared" si="0"/>
        <v>0</v>
      </c>
      <c r="L84" s="53">
        <f t="shared" si="0"/>
        <v>0</v>
      </c>
      <c r="M84" s="53">
        <f t="shared" si="0"/>
        <v>1.6464516129032259E-3</v>
      </c>
      <c r="N84" s="53">
        <f t="shared" si="0"/>
        <v>8.2529032258064523E-3</v>
      </c>
      <c r="O84" s="53">
        <f t="shared" si="0"/>
        <v>1.895741935483871E-2</v>
      </c>
      <c r="P84" s="53">
        <f t="shared" si="0"/>
        <v>2.50141935483871E-2</v>
      </c>
      <c r="Q84" s="53">
        <f t="shared" si="0"/>
        <v>2.7729032258064518E-2</v>
      </c>
      <c r="R84" s="53">
        <f t="shared" si="0"/>
        <v>2.6681290322580643E-2</v>
      </c>
      <c r="S84" s="53">
        <f t="shared" si="0"/>
        <v>2.2490322580645161E-2</v>
      </c>
      <c r="T84" s="53">
        <f t="shared" si="0"/>
        <v>1.536E-2</v>
      </c>
      <c r="U84" s="53">
        <f t="shared" si="0"/>
        <v>7.1922580645161294E-3</v>
      </c>
      <c r="V84" s="53">
        <f t="shared" si="0"/>
        <v>7.3806451612903239E-4</v>
      </c>
      <c r="W84" s="53">
        <f t="shared" si="0"/>
        <v>0</v>
      </c>
      <c r="X84" s="53">
        <f t="shared" si="0"/>
        <v>0</v>
      </c>
      <c r="Y84" s="53">
        <f t="shared" si="0"/>
        <v>0</v>
      </c>
      <c r="Z84" s="53">
        <f t="shared" si="0"/>
        <v>0</v>
      </c>
      <c r="AA84" s="53">
        <f t="shared" si="0"/>
        <v>0</v>
      </c>
      <c r="AB84" s="53">
        <f t="shared" si="0"/>
        <v>0</v>
      </c>
      <c r="AC84" s="174">
        <f t="shared" si="0"/>
        <v>0</v>
      </c>
      <c r="AD84" s="255">
        <f t="shared" ref="AD84:AD95" si="1">SUM(F84:AC84)</f>
        <v>0.15406193548387098</v>
      </c>
      <c r="AE84" s="2">
        <v>31</v>
      </c>
      <c r="AF84" s="63">
        <f t="shared" ref="AF84:AF95" si="2">AD84*AE84</f>
        <v>4.7759200000000002</v>
      </c>
    </row>
    <row r="85" spans="2:32" x14ac:dyDescent="0.2">
      <c r="B85" s="1047"/>
      <c r="D85" s="1019"/>
      <c r="E85" s="178">
        <v>2</v>
      </c>
      <c r="F85" s="163">
        <f t="shared" ref="F85:AC85" si="3">$H$14*$H$67*F20*$H$13</f>
        <v>0</v>
      </c>
      <c r="G85" s="3">
        <f t="shared" si="3"/>
        <v>0</v>
      </c>
      <c r="H85" s="3">
        <f t="shared" si="3"/>
        <v>0</v>
      </c>
      <c r="I85" s="3">
        <f t="shared" si="3"/>
        <v>0</v>
      </c>
      <c r="J85" s="3">
        <f t="shared" si="3"/>
        <v>0</v>
      </c>
      <c r="K85" s="3">
        <f t="shared" si="3"/>
        <v>0</v>
      </c>
      <c r="L85" s="3">
        <f t="shared" si="3"/>
        <v>1.4285714285714285E-5</v>
      </c>
      <c r="M85" s="3">
        <f t="shared" si="3"/>
        <v>4.8628571428571427E-3</v>
      </c>
      <c r="N85" s="3">
        <f t="shared" si="3"/>
        <v>1.3819999999999999E-2</v>
      </c>
      <c r="O85" s="3">
        <f t="shared" si="3"/>
        <v>2.3045714285714284E-2</v>
      </c>
      <c r="P85" s="3">
        <f t="shared" si="3"/>
        <v>3.1451428571428575E-2</v>
      </c>
      <c r="Q85" s="3">
        <f t="shared" si="3"/>
        <v>3.4088571428571426E-2</v>
      </c>
      <c r="R85" s="3">
        <f t="shared" si="3"/>
        <v>3.2374285714285717E-2</v>
      </c>
      <c r="S85" s="3">
        <f t="shared" si="3"/>
        <v>2.878E-2</v>
      </c>
      <c r="T85" s="3">
        <f t="shared" si="3"/>
        <v>2.2291428571428577E-2</v>
      </c>
      <c r="U85" s="3">
        <f t="shared" si="3"/>
        <v>1.5051428571428572E-2</v>
      </c>
      <c r="V85" s="3">
        <f t="shared" si="3"/>
        <v>5.1457142857142856E-3</v>
      </c>
      <c r="W85" s="3">
        <f t="shared" si="3"/>
        <v>0</v>
      </c>
      <c r="X85" s="3">
        <f t="shared" si="3"/>
        <v>0</v>
      </c>
      <c r="Y85" s="3">
        <f t="shared" si="3"/>
        <v>0</v>
      </c>
      <c r="Z85" s="3">
        <f t="shared" si="3"/>
        <v>0</v>
      </c>
      <c r="AA85" s="3">
        <f t="shared" si="3"/>
        <v>0</v>
      </c>
      <c r="AB85" s="3">
        <f t="shared" si="3"/>
        <v>0</v>
      </c>
      <c r="AC85" s="171">
        <f t="shared" si="3"/>
        <v>0</v>
      </c>
      <c r="AD85" s="255">
        <f t="shared" si="1"/>
        <v>0.2109257142857143</v>
      </c>
      <c r="AE85" s="2">
        <v>28</v>
      </c>
      <c r="AF85" s="63">
        <f t="shared" si="2"/>
        <v>5.9059200000000001</v>
      </c>
    </row>
    <row r="86" spans="2:32" x14ac:dyDescent="0.2">
      <c r="B86" s="1047"/>
      <c r="D86" s="1019"/>
      <c r="E86" s="178">
        <v>3</v>
      </c>
      <c r="F86" s="163">
        <f t="shared" ref="F86:AC86" si="4">$H$14*$H$67*F21*$H$13</f>
        <v>0</v>
      </c>
      <c r="G86" s="3">
        <f t="shared" si="4"/>
        <v>0</v>
      </c>
      <c r="H86" s="3">
        <f t="shared" si="4"/>
        <v>0</v>
      </c>
      <c r="I86" s="3">
        <f t="shared" si="4"/>
        <v>0</v>
      </c>
      <c r="J86" s="3">
        <f t="shared" si="4"/>
        <v>0</v>
      </c>
      <c r="K86" s="3">
        <f t="shared" si="4"/>
        <v>0</v>
      </c>
      <c r="L86" s="3">
        <f t="shared" si="4"/>
        <v>4.2838709677419356E-3</v>
      </c>
      <c r="M86" s="3">
        <f t="shared" si="4"/>
        <v>1.4358709677419354E-2</v>
      </c>
      <c r="N86" s="3">
        <f t="shared" si="4"/>
        <v>2.5316129032258067E-2</v>
      </c>
      <c r="O86" s="3">
        <f t="shared" si="4"/>
        <v>3.6895483870967742E-2</v>
      </c>
      <c r="P86" s="3">
        <f t="shared" si="4"/>
        <v>4.2763870967741931E-2</v>
      </c>
      <c r="Q86" s="3">
        <f t="shared" si="4"/>
        <v>4.332645161290323E-2</v>
      </c>
      <c r="R86" s="3">
        <f t="shared" si="4"/>
        <v>4.1187096774193556E-2</v>
      </c>
      <c r="S86" s="3">
        <f t="shared" si="4"/>
        <v>4.0846451612903227E-2</v>
      </c>
      <c r="T86" s="3">
        <f t="shared" si="4"/>
        <v>3.4379354838709679E-2</v>
      </c>
      <c r="U86" s="3">
        <f t="shared" si="4"/>
        <v>2.350451612903226E-2</v>
      </c>
      <c r="V86" s="3">
        <f t="shared" si="4"/>
        <v>1.0996129032258065E-2</v>
      </c>
      <c r="W86" s="3">
        <f t="shared" si="4"/>
        <v>1.9535483870967742E-3</v>
      </c>
      <c r="X86" s="3">
        <f t="shared" si="4"/>
        <v>0</v>
      </c>
      <c r="Y86" s="3">
        <f t="shared" si="4"/>
        <v>0</v>
      </c>
      <c r="Z86" s="3">
        <f t="shared" si="4"/>
        <v>0</v>
      </c>
      <c r="AA86" s="3">
        <f t="shared" si="4"/>
        <v>0</v>
      </c>
      <c r="AB86" s="3">
        <f t="shared" si="4"/>
        <v>0</v>
      </c>
      <c r="AC86" s="171">
        <f t="shared" si="4"/>
        <v>0</v>
      </c>
      <c r="AD86" s="255">
        <f t="shared" si="1"/>
        <v>0.31981161290322579</v>
      </c>
      <c r="AE86" s="2">
        <v>31</v>
      </c>
      <c r="AF86" s="63">
        <f t="shared" si="2"/>
        <v>9.914159999999999</v>
      </c>
    </row>
    <row r="87" spans="2:32" x14ac:dyDescent="0.2">
      <c r="B87" s="1047"/>
      <c r="D87" s="1019"/>
      <c r="E87" s="178">
        <v>4</v>
      </c>
      <c r="F87" s="163">
        <f t="shared" ref="F87:AC87" si="5">$H$14*$H$67*F22*$H$13</f>
        <v>0</v>
      </c>
      <c r="G87" s="3">
        <f t="shared" si="5"/>
        <v>0</v>
      </c>
      <c r="H87" s="3">
        <f t="shared" si="5"/>
        <v>0</v>
      </c>
      <c r="I87" s="3">
        <f t="shared" si="5"/>
        <v>0</v>
      </c>
      <c r="J87" s="3">
        <f t="shared" si="5"/>
        <v>0</v>
      </c>
      <c r="K87" s="3">
        <f t="shared" si="5"/>
        <v>2.5920000000000001E-3</v>
      </c>
      <c r="L87" s="3">
        <f t="shared" si="5"/>
        <v>1.0621333333333333E-2</v>
      </c>
      <c r="M87" s="3">
        <f t="shared" si="5"/>
        <v>2.1541333333333332E-2</v>
      </c>
      <c r="N87" s="3">
        <f t="shared" si="5"/>
        <v>3.2658666666666669E-2</v>
      </c>
      <c r="O87" s="3">
        <f t="shared" si="5"/>
        <v>4.3304000000000002E-2</v>
      </c>
      <c r="P87" s="3">
        <f t="shared" si="5"/>
        <v>5.2496000000000001E-2</v>
      </c>
      <c r="Q87" s="3">
        <f t="shared" si="5"/>
        <v>5.4530666666666665E-2</v>
      </c>
      <c r="R87" s="3">
        <f t="shared" si="5"/>
        <v>4.8831999999999993E-2</v>
      </c>
      <c r="S87" s="3">
        <f t="shared" si="5"/>
        <v>4.5511999999999997E-2</v>
      </c>
      <c r="T87" s="3">
        <f t="shared" si="5"/>
        <v>3.5458666666666673E-2</v>
      </c>
      <c r="U87" s="3">
        <f t="shared" si="5"/>
        <v>2.3301333333333334E-2</v>
      </c>
      <c r="V87" s="3">
        <f t="shared" si="5"/>
        <v>1.4354666666666667E-2</v>
      </c>
      <c r="W87" s="3">
        <f t="shared" si="5"/>
        <v>5.8133333333333335E-3</v>
      </c>
      <c r="X87" s="3">
        <f t="shared" si="5"/>
        <v>5.0666666666666667E-5</v>
      </c>
      <c r="Y87" s="3">
        <f t="shared" si="5"/>
        <v>0</v>
      </c>
      <c r="Z87" s="3">
        <f t="shared" si="5"/>
        <v>0</v>
      </c>
      <c r="AA87" s="3">
        <f t="shared" si="5"/>
        <v>0</v>
      </c>
      <c r="AB87" s="3">
        <f t="shared" si="5"/>
        <v>0</v>
      </c>
      <c r="AC87" s="171">
        <f t="shared" si="5"/>
        <v>0</v>
      </c>
      <c r="AD87" s="255">
        <f t="shared" si="1"/>
        <v>0.39106666666666667</v>
      </c>
      <c r="AE87" s="2">
        <v>30</v>
      </c>
      <c r="AF87" s="63">
        <f t="shared" si="2"/>
        <v>11.731999999999999</v>
      </c>
    </row>
    <row r="88" spans="2:32" x14ac:dyDescent="0.2">
      <c r="B88" s="1047"/>
      <c r="D88" s="1019"/>
      <c r="E88" s="178">
        <v>5</v>
      </c>
      <c r="F88" s="163">
        <f t="shared" ref="F88:AC88" si="6">$H$14*$H$67*F23*$H$13</f>
        <v>0</v>
      </c>
      <c r="G88" s="3">
        <f t="shared" si="6"/>
        <v>0</v>
      </c>
      <c r="H88" s="3">
        <f t="shared" si="6"/>
        <v>0</v>
      </c>
      <c r="I88" s="3">
        <f t="shared" si="6"/>
        <v>0</v>
      </c>
      <c r="J88" s="3">
        <f t="shared" si="6"/>
        <v>2.1935483870967742E-4</v>
      </c>
      <c r="K88" s="3">
        <f t="shared" si="6"/>
        <v>6.4051612903225806E-3</v>
      </c>
      <c r="L88" s="3">
        <f t="shared" si="6"/>
        <v>1.6691612903225808E-2</v>
      </c>
      <c r="M88" s="3">
        <f t="shared" si="6"/>
        <v>2.6611612903225806E-2</v>
      </c>
      <c r="N88" s="3">
        <f t="shared" si="6"/>
        <v>3.7963870967741939E-2</v>
      </c>
      <c r="O88" s="3">
        <f t="shared" si="6"/>
        <v>4.6895483870967744E-2</v>
      </c>
      <c r="P88" s="3">
        <f t="shared" si="6"/>
        <v>5.3778064516129036E-2</v>
      </c>
      <c r="Q88" s="3">
        <f t="shared" si="6"/>
        <v>5.6172903225806446E-2</v>
      </c>
      <c r="R88" s="3">
        <f t="shared" si="6"/>
        <v>5.5099354838709681E-2</v>
      </c>
      <c r="S88" s="3">
        <f t="shared" si="6"/>
        <v>4.8727741935483876E-2</v>
      </c>
      <c r="T88" s="3">
        <f t="shared" si="6"/>
        <v>4.1138064516129037E-2</v>
      </c>
      <c r="U88" s="3">
        <f t="shared" si="6"/>
        <v>3.2273548387096777E-2</v>
      </c>
      <c r="V88" s="3">
        <f t="shared" si="6"/>
        <v>2.0859354838709678E-2</v>
      </c>
      <c r="W88" s="3">
        <f t="shared" si="6"/>
        <v>9.2051612903225818E-3</v>
      </c>
      <c r="X88" s="3">
        <f t="shared" si="6"/>
        <v>1.9535483870967742E-3</v>
      </c>
      <c r="Y88" s="3">
        <f t="shared" si="6"/>
        <v>0</v>
      </c>
      <c r="Z88" s="3">
        <f t="shared" si="6"/>
        <v>0</v>
      </c>
      <c r="AA88" s="3">
        <f t="shared" si="6"/>
        <v>0</v>
      </c>
      <c r="AB88" s="3">
        <f t="shared" si="6"/>
        <v>0</v>
      </c>
      <c r="AC88" s="171">
        <f t="shared" si="6"/>
        <v>0</v>
      </c>
      <c r="AD88" s="255">
        <f t="shared" si="1"/>
        <v>0.45399483870967738</v>
      </c>
      <c r="AE88" s="2">
        <v>31</v>
      </c>
      <c r="AF88" s="63">
        <f t="shared" si="2"/>
        <v>14.073839999999999</v>
      </c>
    </row>
    <row r="89" spans="2:32" x14ac:dyDescent="0.2">
      <c r="B89" s="1047"/>
      <c r="D89" s="1019"/>
      <c r="E89" s="178">
        <v>6</v>
      </c>
      <c r="F89" s="163">
        <f t="shared" ref="F89:AC89" si="7">$H$14*$H$67*F24*$H$13</f>
        <v>0</v>
      </c>
      <c r="G89" s="3">
        <f t="shared" si="7"/>
        <v>0</v>
      </c>
      <c r="H89" s="3">
        <f t="shared" si="7"/>
        <v>0</v>
      </c>
      <c r="I89" s="3">
        <f t="shared" si="7"/>
        <v>0</v>
      </c>
      <c r="J89" s="3">
        <f t="shared" si="7"/>
        <v>1.096E-3</v>
      </c>
      <c r="K89" s="3">
        <f t="shared" si="7"/>
        <v>9.1466666666666658E-3</v>
      </c>
      <c r="L89" s="3">
        <f t="shared" si="7"/>
        <v>1.8941333333333334E-2</v>
      </c>
      <c r="M89" s="3">
        <f t="shared" si="7"/>
        <v>2.712266666666667E-2</v>
      </c>
      <c r="N89" s="3">
        <f t="shared" si="7"/>
        <v>3.8797333333333336E-2</v>
      </c>
      <c r="O89" s="3">
        <f t="shared" si="7"/>
        <v>4.8402666666666663E-2</v>
      </c>
      <c r="P89" s="3">
        <f t="shared" si="7"/>
        <v>5.4688000000000001E-2</v>
      </c>
      <c r="Q89" s="3">
        <f t="shared" si="7"/>
        <v>5.9151999999999996E-2</v>
      </c>
      <c r="R89" s="3">
        <f t="shared" si="7"/>
        <v>5.9461333333333331E-2</v>
      </c>
      <c r="S89" s="3">
        <f t="shared" si="7"/>
        <v>5.356533333333334E-2</v>
      </c>
      <c r="T89" s="3">
        <f t="shared" si="7"/>
        <v>4.6242666666666661E-2</v>
      </c>
      <c r="U89" s="3">
        <f t="shared" si="7"/>
        <v>3.6856E-2</v>
      </c>
      <c r="V89" s="3">
        <f t="shared" si="7"/>
        <v>2.5269333333333335E-2</v>
      </c>
      <c r="W89" s="3">
        <f t="shared" si="7"/>
        <v>1.2485333333333333E-2</v>
      </c>
      <c r="X89" s="3">
        <f t="shared" si="7"/>
        <v>4.5360000000000001E-3</v>
      </c>
      <c r="Y89" s="3">
        <f t="shared" si="7"/>
        <v>0</v>
      </c>
      <c r="Z89" s="3">
        <f t="shared" si="7"/>
        <v>0</v>
      </c>
      <c r="AA89" s="3">
        <f t="shared" si="7"/>
        <v>0</v>
      </c>
      <c r="AB89" s="3">
        <f t="shared" si="7"/>
        <v>0</v>
      </c>
      <c r="AC89" s="171">
        <f t="shared" si="7"/>
        <v>0</v>
      </c>
      <c r="AD89" s="255">
        <f t="shared" si="1"/>
        <v>0.49576266666666663</v>
      </c>
      <c r="AE89" s="2">
        <v>30</v>
      </c>
      <c r="AF89" s="63">
        <f t="shared" si="2"/>
        <v>14.872879999999999</v>
      </c>
    </row>
    <row r="90" spans="2:32" ht="19" customHeight="1" x14ac:dyDescent="0.2">
      <c r="B90" s="1047"/>
      <c r="D90" s="1019"/>
      <c r="E90" s="178">
        <v>7</v>
      </c>
      <c r="F90" s="163">
        <f t="shared" ref="F90:AC90" si="8">$H$14*$H$67*F25*$H$13</f>
        <v>0</v>
      </c>
      <c r="G90" s="3">
        <f t="shared" si="8"/>
        <v>0</v>
      </c>
      <c r="H90" s="3">
        <f t="shared" si="8"/>
        <v>0</v>
      </c>
      <c r="I90" s="3">
        <f t="shared" si="8"/>
        <v>0</v>
      </c>
      <c r="J90" s="3">
        <f t="shared" si="8"/>
        <v>2.7870967741935485E-4</v>
      </c>
      <c r="K90" s="3">
        <f t="shared" si="8"/>
        <v>7.0425806451612904E-3</v>
      </c>
      <c r="L90" s="3">
        <f t="shared" si="8"/>
        <v>1.7700645161290322E-2</v>
      </c>
      <c r="M90" s="3">
        <f t="shared" si="8"/>
        <v>3.118451612903226E-2</v>
      </c>
      <c r="N90" s="3">
        <f t="shared" si="8"/>
        <v>3.9589677419354839E-2</v>
      </c>
      <c r="O90" s="3">
        <f t="shared" si="8"/>
        <v>4.8908387096774197E-2</v>
      </c>
      <c r="P90" s="3">
        <f t="shared" si="8"/>
        <v>5.7385806451612904E-2</v>
      </c>
      <c r="Q90" s="3">
        <f t="shared" si="8"/>
        <v>5.7630967741935483E-2</v>
      </c>
      <c r="R90" s="3">
        <f t="shared" si="8"/>
        <v>5.9522580645161291E-2</v>
      </c>
      <c r="S90" s="3">
        <f t="shared" si="8"/>
        <v>5.6918709677419355E-2</v>
      </c>
      <c r="T90" s="3">
        <f t="shared" si="8"/>
        <v>4.9316129032258064E-2</v>
      </c>
      <c r="U90" s="3">
        <f t="shared" si="8"/>
        <v>3.7558709677419359E-2</v>
      </c>
      <c r="V90" s="3">
        <f t="shared" si="8"/>
        <v>2.4779354838709678E-2</v>
      </c>
      <c r="W90" s="3">
        <f t="shared" si="8"/>
        <v>1.3409032258064517E-2</v>
      </c>
      <c r="X90" s="3">
        <f t="shared" si="8"/>
        <v>4.1341935483870966E-3</v>
      </c>
      <c r="Y90" s="3">
        <f t="shared" si="8"/>
        <v>0</v>
      </c>
      <c r="Z90" s="3">
        <f t="shared" si="8"/>
        <v>0</v>
      </c>
      <c r="AA90" s="3">
        <f t="shared" si="8"/>
        <v>0</v>
      </c>
      <c r="AB90" s="3">
        <f t="shared" si="8"/>
        <v>0</v>
      </c>
      <c r="AC90" s="171">
        <f t="shared" si="8"/>
        <v>0</v>
      </c>
      <c r="AD90" s="255">
        <f t="shared" si="1"/>
        <v>0.50536000000000003</v>
      </c>
      <c r="AE90" s="2">
        <v>31</v>
      </c>
      <c r="AF90" s="63">
        <f t="shared" si="2"/>
        <v>15.666160000000001</v>
      </c>
    </row>
    <row r="91" spans="2:32" ht="19" customHeight="1" x14ac:dyDescent="0.2">
      <c r="B91" s="1047"/>
      <c r="D91" s="1019"/>
      <c r="E91" s="178">
        <v>8</v>
      </c>
      <c r="F91" s="163">
        <f t="shared" ref="F91:AC91" si="9">$H$14*$H$67*F26*$H$13</f>
        <v>0</v>
      </c>
      <c r="G91" s="3">
        <f t="shared" si="9"/>
        <v>0</v>
      </c>
      <c r="H91" s="3">
        <f t="shared" si="9"/>
        <v>0</v>
      </c>
      <c r="I91" s="3">
        <f t="shared" si="9"/>
        <v>0</v>
      </c>
      <c r="J91" s="3">
        <f t="shared" si="9"/>
        <v>0</v>
      </c>
      <c r="K91" s="3">
        <f t="shared" si="9"/>
        <v>3.3316129032258069E-3</v>
      </c>
      <c r="L91" s="3">
        <f t="shared" si="9"/>
        <v>1.3532903225806452E-2</v>
      </c>
      <c r="M91" s="3">
        <f t="shared" si="9"/>
        <v>2.6201290322580645E-2</v>
      </c>
      <c r="N91" s="3">
        <f t="shared" si="9"/>
        <v>3.7618064516129035E-2</v>
      </c>
      <c r="O91" s="3">
        <f t="shared" si="9"/>
        <v>4.676129032258064E-2</v>
      </c>
      <c r="P91" s="3">
        <f t="shared" si="9"/>
        <v>5.4082580645161284E-2</v>
      </c>
      <c r="Q91" s="3">
        <f t="shared" si="9"/>
        <v>5.7019354838709679E-2</v>
      </c>
      <c r="R91" s="3">
        <f t="shared" si="9"/>
        <v>5.72516129032258E-2</v>
      </c>
      <c r="S91" s="3">
        <f t="shared" si="9"/>
        <v>5.4454193548387091E-2</v>
      </c>
      <c r="T91" s="3">
        <f t="shared" si="9"/>
        <v>4.33341935483871E-2</v>
      </c>
      <c r="U91" s="3">
        <f t="shared" si="9"/>
        <v>3.3850322580645166E-2</v>
      </c>
      <c r="V91" s="3">
        <f t="shared" si="9"/>
        <v>1.9628387096774193E-2</v>
      </c>
      <c r="W91" s="3">
        <f t="shared" si="9"/>
        <v>8.4361290322580648E-3</v>
      </c>
      <c r="X91" s="3">
        <f t="shared" si="9"/>
        <v>7.4322580645161298E-4</v>
      </c>
      <c r="Y91" s="3">
        <f t="shared" si="9"/>
        <v>0</v>
      </c>
      <c r="Z91" s="3">
        <f t="shared" si="9"/>
        <v>0</v>
      </c>
      <c r="AA91" s="3">
        <f t="shared" si="9"/>
        <v>0</v>
      </c>
      <c r="AB91" s="3">
        <f t="shared" si="9"/>
        <v>0</v>
      </c>
      <c r="AC91" s="171">
        <f t="shared" si="9"/>
        <v>0</v>
      </c>
      <c r="AD91" s="255">
        <f t="shared" si="1"/>
        <v>0.4562451612903225</v>
      </c>
      <c r="AE91" s="2">
        <v>31</v>
      </c>
      <c r="AF91" s="63">
        <f t="shared" si="2"/>
        <v>14.143599999999998</v>
      </c>
    </row>
    <row r="92" spans="2:32" ht="19" customHeight="1" x14ac:dyDescent="0.2">
      <c r="B92" s="1047"/>
      <c r="D92" s="1019"/>
      <c r="E92" s="178">
        <v>9</v>
      </c>
      <c r="F92" s="163">
        <f t="shared" ref="F92:AC92" si="10">$H$14*$H$67*F27*$H$13</f>
        <v>0</v>
      </c>
      <c r="G92" s="3">
        <f t="shared" si="10"/>
        <v>0</v>
      </c>
      <c r="H92" s="3">
        <f t="shared" si="10"/>
        <v>0</v>
      </c>
      <c r="I92" s="3">
        <f t="shared" si="10"/>
        <v>0</v>
      </c>
      <c r="J92" s="3">
        <f t="shared" si="10"/>
        <v>0</v>
      </c>
      <c r="K92" s="3">
        <f t="shared" si="10"/>
        <v>5.1999999999999995E-4</v>
      </c>
      <c r="L92" s="3">
        <f t="shared" si="10"/>
        <v>8.4186666666666663E-3</v>
      </c>
      <c r="M92" s="3">
        <f t="shared" si="10"/>
        <v>1.7938666666666665E-2</v>
      </c>
      <c r="N92" s="3">
        <f t="shared" si="10"/>
        <v>2.9575999999999998E-2</v>
      </c>
      <c r="O92" s="3">
        <f t="shared" si="10"/>
        <v>3.990133333333333E-2</v>
      </c>
      <c r="P92" s="3">
        <f t="shared" si="10"/>
        <v>4.565333333333333E-2</v>
      </c>
      <c r="Q92" s="3">
        <f t="shared" si="10"/>
        <v>5.0074666666666656E-2</v>
      </c>
      <c r="R92" s="3">
        <f t="shared" si="10"/>
        <v>4.742933333333333E-2</v>
      </c>
      <c r="S92" s="3">
        <f t="shared" si="10"/>
        <v>4.3050666666666668E-2</v>
      </c>
      <c r="T92" s="3">
        <f t="shared" si="10"/>
        <v>3.4634666666666668E-2</v>
      </c>
      <c r="U92" s="3">
        <f t="shared" si="10"/>
        <v>2.452E-2</v>
      </c>
      <c r="V92" s="3">
        <f t="shared" si="10"/>
        <v>1.2210666666666665E-2</v>
      </c>
      <c r="W92" s="3">
        <f t="shared" si="10"/>
        <v>2.3440000000000002E-3</v>
      </c>
      <c r="X92" s="3">
        <f t="shared" si="10"/>
        <v>0</v>
      </c>
      <c r="Y92" s="3">
        <f t="shared" si="10"/>
        <v>0</v>
      </c>
      <c r="Z92" s="3">
        <f t="shared" si="10"/>
        <v>0</v>
      </c>
      <c r="AA92" s="3">
        <f t="shared" si="10"/>
        <v>0</v>
      </c>
      <c r="AB92" s="3">
        <f t="shared" si="10"/>
        <v>0</v>
      </c>
      <c r="AC92" s="171">
        <f t="shared" si="10"/>
        <v>0</v>
      </c>
      <c r="AD92" s="255">
        <f t="shared" si="1"/>
        <v>0.35627199999999992</v>
      </c>
      <c r="AE92" s="2">
        <v>30</v>
      </c>
      <c r="AF92" s="63">
        <f t="shared" si="2"/>
        <v>10.688159999999998</v>
      </c>
    </row>
    <row r="93" spans="2:32" x14ac:dyDescent="0.2">
      <c r="B93" s="1047"/>
      <c r="D93" s="1019"/>
      <c r="E93" s="178">
        <v>10</v>
      </c>
      <c r="F93" s="163">
        <f t="shared" ref="F93:AC93" si="11">$H$14*$H$67*F28*$H$13</f>
        <v>0</v>
      </c>
      <c r="G93" s="3">
        <f t="shared" si="11"/>
        <v>0</v>
      </c>
      <c r="H93" s="3">
        <f t="shared" si="11"/>
        <v>0</v>
      </c>
      <c r="I93" s="3">
        <f t="shared" si="11"/>
        <v>0</v>
      </c>
      <c r="J93" s="3">
        <f t="shared" si="11"/>
        <v>0</v>
      </c>
      <c r="K93" s="3">
        <f t="shared" si="11"/>
        <v>0</v>
      </c>
      <c r="L93" s="3">
        <f t="shared" si="11"/>
        <v>3.3135483870967743E-3</v>
      </c>
      <c r="M93" s="3">
        <f t="shared" si="11"/>
        <v>1.2642580645161289E-2</v>
      </c>
      <c r="N93" s="3">
        <f t="shared" si="11"/>
        <v>2.3148387096774196E-2</v>
      </c>
      <c r="O93" s="3">
        <f t="shared" si="11"/>
        <v>3.317161290322581E-2</v>
      </c>
      <c r="P93" s="3">
        <f t="shared" si="11"/>
        <v>3.858322580645162E-2</v>
      </c>
      <c r="Q93" s="3">
        <f t="shared" si="11"/>
        <v>4.0934193548387093E-2</v>
      </c>
      <c r="R93" s="3">
        <f t="shared" si="11"/>
        <v>3.734967741935484E-2</v>
      </c>
      <c r="S93" s="3">
        <f t="shared" si="11"/>
        <v>3.1535483870967738E-2</v>
      </c>
      <c r="T93" s="3">
        <f t="shared" si="11"/>
        <v>2.3847741935483873E-2</v>
      </c>
      <c r="U93" s="3">
        <f t="shared" si="11"/>
        <v>1.3189677419354839E-2</v>
      </c>
      <c r="V93" s="3">
        <f t="shared" si="11"/>
        <v>3.1199999999999999E-3</v>
      </c>
      <c r="W93" s="3">
        <f t="shared" si="11"/>
        <v>0</v>
      </c>
      <c r="X93" s="3">
        <f t="shared" si="11"/>
        <v>0</v>
      </c>
      <c r="Y93" s="3">
        <f t="shared" si="11"/>
        <v>0</v>
      </c>
      <c r="Z93" s="3">
        <f t="shared" si="11"/>
        <v>0</v>
      </c>
      <c r="AA93" s="3">
        <f t="shared" si="11"/>
        <v>0</v>
      </c>
      <c r="AB93" s="3">
        <f t="shared" si="11"/>
        <v>0</v>
      </c>
      <c r="AC93" s="171">
        <f t="shared" si="11"/>
        <v>0</v>
      </c>
      <c r="AD93" s="255">
        <f t="shared" si="1"/>
        <v>0.26083612903225811</v>
      </c>
      <c r="AE93" s="2">
        <v>31</v>
      </c>
      <c r="AF93" s="63">
        <f t="shared" si="2"/>
        <v>8.0859200000000016</v>
      </c>
    </row>
    <row r="94" spans="2:32" ht="19" customHeight="1" x14ac:dyDescent="0.2">
      <c r="B94" s="1047"/>
      <c r="D94" s="1019"/>
      <c r="E94" s="178">
        <v>11</v>
      </c>
      <c r="F94" s="163">
        <f t="shared" ref="F94:AC94" si="12">$H$14*$H$67*F29*$H$13</f>
        <v>0</v>
      </c>
      <c r="G94" s="3">
        <f t="shared" si="12"/>
        <v>0</v>
      </c>
      <c r="H94" s="3">
        <f t="shared" si="12"/>
        <v>0</v>
      </c>
      <c r="I94" s="3">
        <f t="shared" si="12"/>
        <v>0</v>
      </c>
      <c r="J94" s="3">
        <f t="shared" si="12"/>
        <v>0</v>
      </c>
      <c r="K94" s="3">
        <f t="shared" si="12"/>
        <v>0</v>
      </c>
      <c r="L94" s="3">
        <f t="shared" si="12"/>
        <v>1.8666666666666669E-4</v>
      </c>
      <c r="M94" s="3">
        <f t="shared" si="12"/>
        <v>6.5760000000000011E-3</v>
      </c>
      <c r="N94" s="3">
        <f t="shared" si="12"/>
        <v>1.4895999999999998E-2</v>
      </c>
      <c r="O94" s="3">
        <f t="shared" si="12"/>
        <v>2.2506666666666668E-2</v>
      </c>
      <c r="P94" s="3">
        <f t="shared" si="12"/>
        <v>2.6530666666666668E-2</v>
      </c>
      <c r="Q94" s="3">
        <f t="shared" si="12"/>
        <v>2.9357333333333333E-2</v>
      </c>
      <c r="R94" s="3">
        <f t="shared" si="12"/>
        <v>2.7717333333333333E-2</v>
      </c>
      <c r="S94" s="3">
        <f t="shared" si="12"/>
        <v>2.1597333333333329E-2</v>
      </c>
      <c r="T94" s="3">
        <f t="shared" si="12"/>
        <v>1.4138666666666666E-2</v>
      </c>
      <c r="U94" s="3">
        <f t="shared" si="12"/>
        <v>6.3546666666666673E-3</v>
      </c>
      <c r="V94" s="3">
        <f t="shared" si="12"/>
        <v>3.7333333333333331E-5</v>
      </c>
      <c r="W94" s="3">
        <f t="shared" si="12"/>
        <v>0</v>
      </c>
      <c r="X94" s="3">
        <f t="shared" si="12"/>
        <v>0</v>
      </c>
      <c r="Y94" s="3">
        <f t="shared" si="12"/>
        <v>0</v>
      </c>
      <c r="Z94" s="3">
        <f t="shared" si="12"/>
        <v>0</v>
      </c>
      <c r="AA94" s="3">
        <f t="shared" si="12"/>
        <v>0</v>
      </c>
      <c r="AB94" s="3">
        <f t="shared" si="12"/>
        <v>0</v>
      </c>
      <c r="AC94" s="171">
        <f t="shared" si="12"/>
        <v>0</v>
      </c>
      <c r="AD94" s="255">
        <f t="shared" si="1"/>
        <v>0.16989866666666667</v>
      </c>
      <c r="AE94" s="2">
        <v>30</v>
      </c>
      <c r="AF94" s="63">
        <f t="shared" si="2"/>
        <v>5.0969600000000002</v>
      </c>
    </row>
    <row r="95" spans="2:32" ht="19" customHeight="1" thickBot="1" x14ac:dyDescent="0.25">
      <c r="B95" s="1047"/>
      <c r="D95" s="1020"/>
      <c r="E95" s="179">
        <v>12</v>
      </c>
      <c r="F95" s="173">
        <f t="shared" ref="F95:AC95" si="13">$H$14*$H$67*F30*$H$13</f>
        <v>0</v>
      </c>
      <c r="G95" s="44">
        <f t="shared" si="13"/>
        <v>0</v>
      </c>
      <c r="H95" s="44">
        <f t="shared" si="13"/>
        <v>0</v>
      </c>
      <c r="I95" s="44">
        <f t="shared" si="13"/>
        <v>0</v>
      </c>
      <c r="J95" s="44">
        <f t="shared" si="13"/>
        <v>0</v>
      </c>
      <c r="K95" s="44">
        <f t="shared" si="13"/>
        <v>0</v>
      </c>
      <c r="L95" s="44">
        <f t="shared" si="13"/>
        <v>0</v>
      </c>
      <c r="M95" s="44">
        <f t="shared" si="13"/>
        <v>1.8116129032258064E-3</v>
      </c>
      <c r="N95" s="44">
        <f t="shared" si="13"/>
        <v>8.0593548387096776E-3</v>
      </c>
      <c r="O95" s="44">
        <f t="shared" si="13"/>
        <v>1.3966451612903226E-2</v>
      </c>
      <c r="P95" s="44">
        <f t="shared" si="13"/>
        <v>1.865806451612903E-2</v>
      </c>
      <c r="Q95" s="44">
        <f t="shared" si="13"/>
        <v>2.2343225806451615E-2</v>
      </c>
      <c r="R95" s="44">
        <f t="shared" si="13"/>
        <v>2.0394838709677423E-2</v>
      </c>
      <c r="S95" s="44">
        <f t="shared" si="13"/>
        <v>1.7024516129032261E-2</v>
      </c>
      <c r="T95" s="44">
        <f t="shared" si="13"/>
        <v>1.1135483870967742E-2</v>
      </c>
      <c r="U95" s="44">
        <f t="shared" si="13"/>
        <v>4.2116129032258066E-3</v>
      </c>
      <c r="V95" s="44">
        <f t="shared" si="13"/>
        <v>0</v>
      </c>
      <c r="W95" s="44">
        <f t="shared" si="13"/>
        <v>0</v>
      </c>
      <c r="X95" s="44">
        <f t="shared" si="13"/>
        <v>0</v>
      </c>
      <c r="Y95" s="44">
        <f t="shared" si="13"/>
        <v>0</v>
      </c>
      <c r="Z95" s="44">
        <f t="shared" si="13"/>
        <v>0</v>
      </c>
      <c r="AA95" s="44">
        <f t="shared" si="13"/>
        <v>0</v>
      </c>
      <c r="AB95" s="44">
        <f t="shared" si="13"/>
        <v>0</v>
      </c>
      <c r="AC95" s="256">
        <f t="shared" si="13"/>
        <v>0</v>
      </c>
      <c r="AD95" s="162">
        <f t="shared" si="1"/>
        <v>0.1176051612903226</v>
      </c>
      <c r="AE95" s="10">
        <v>31</v>
      </c>
      <c r="AF95" s="170">
        <f t="shared" si="2"/>
        <v>3.6457600000000006</v>
      </c>
    </row>
    <row r="96" spans="2:32" ht="19" customHeight="1" thickBot="1" x14ac:dyDescent="0.25">
      <c r="B96" s="1047"/>
      <c r="D96" s="468"/>
      <c r="F96" s="51"/>
      <c r="G96" s="51"/>
      <c r="H96" s="51"/>
      <c r="I96" s="51"/>
      <c r="J96" s="51"/>
      <c r="K96" s="51"/>
      <c r="L96" s="51"/>
      <c r="M96" s="51"/>
      <c r="N96" s="51"/>
      <c r="O96" s="51"/>
      <c r="P96" s="51"/>
      <c r="Q96" s="51"/>
      <c r="R96" s="51"/>
      <c r="S96" s="51"/>
      <c r="T96" s="51"/>
      <c r="U96" s="51"/>
      <c r="V96" s="51"/>
      <c r="W96" s="51"/>
      <c r="X96" s="51"/>
      <c r="Y96" s="51"/>
      <c r="Z96" s="51"/>
      <c r="AA96" s="51"/>
      <c r="AB96" s="51"/>
      <c r="AC96" s="51"/>
      <c r="AD96" s="1021" t="s">
        <v>594</v>
      </c>
      <c r="AE96" s="962"/>
      <c r="AF96" s="469">
        <f>SUM(AF84:AF95)</f>
        <v>118.60127999999999</v>
      </c>
    </row>
    <row r="97" spans="2:62" ht="20" thickBot="1" x14ac:dyDescent="0.25">
      <c r="B97" s="1047"/>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2"/>
      <c r="AE97" s="232"/>
      <c r="AF97" s="232"/>
    </row>
    <row r="98" spans="2:62" ht="19" customHeight="1" x14ac:dyDescent="0.2">
      <c r="B98" s="1047"/>
      <c r="D98" s="1026" t="s">
        <v>935</v>
      </c>
      <c r="E98" s="1027"/>
      <c r="F98" s="1027"/>
      <c r="G98" s="1027"/>
      <c r="H98" s="1027"/>
      <c r="I98" s="1027"/>
      <c r="J98" s="1027"/>
      <c r="K98" s="1027"/>
      <c r="L98" s="1027"/>
      <c r="M98" s="1027"/>
      <c r="N98" s="1027"/>
      <c r="O98" s="1027"/>
      <c r="P98" s="1027"/>
      <c r="Q98" s="1027"/>
      <c r="R98" s="1027"/>
      <c r="S98" s="1027"/>
      <c r="T98" s="1027"/>
      <c r="U98" s="1027"/>
      <c r="V98" s="1027"/>
      <c r="W98" s="1027"/>
      <c r="X98" s="1027"/>
      <c r="Y98" s="1027"/>
      <c r="Z98" s="1027"/>
      <c r="AA98" s="1027"/>
      <c r="AB98" s="1027"/>
      <c r="AC98" s="1027"/>
      <c r="AD98" s="1027"/>
      <c r="AE98" s="1027"/>
      <c r="AF98" s="1028"/>
      <c r="AH98" s="470"/>
      <c r="AI98" s="470"/>
      <c r="AJ98" s="470"/>
      <c r="AK98" s="470"/>
      <c r="AL98" s="470"/>
      <c r="AM98" s="470"/>
      <c r="AN98" s="470"/>
      <c r="AO98" s="470"/>
      <c r="AP98" s="470"/>
      <c r="AQ98" s="470"/>
      <c r="AR98" s="470"/>
      <c r="AS98" s="470"/>
      <c r="AT98" s="470"/>
      <c r="AU98" s="470"/>
      <c r="AV98" s="470"/>
      <c r="AW98" s="470"/>
      <c r="AX98" s="470"/>
      <c r="AY98" s="470"/>
      <c r="AZ98" s="470"/>
      <c r="BA98" s="470"/>
      <c r="BB98" s="470"/>
      <c r="BC98" s="470"/>
      <c r="BD98" s="470"/>
      <c r="BE98" s="470"/>
      <c r="BF98" s="470"/>
      <c r="BG98" s="470"/>
      <c r="BH98" s="470"/>
      <c r="BI98" s="470"/>
      <c r="BJ98" s="470"/>
    </row>
    <row r="99" spans="2:62" ht="16" customHeight="1" thickBot="1" x14ac:dyDescent="0.25">
      <c r="B99" s="1047"/>
      <c r="D99" s="1029"/>
      <c r="E99" s="1030"/>
      <c r="F99" s="1030"/>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1030"/>
      <c r="AD99" s="1030"/>
      <c r="AE99" s="1030"/>
      <c r="AF99" s="1031"/>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row>
    <row r="100" spans="2:62" ht="15" customHeight="1" thickBot="1" x14ac:dyDescent="0.25">
      <c r="B100" s="1047"/>
      <c r="D100" s="1032" t="s">
        <v>936</v>
      </c>
      <c r="E100" s="1033"/>
      <c r="F100" s="1033"/>
      <c r="G100" s="1033"/>
      <c r="H100" s="1033"/>
      <c r="I100" s="1033"/>
      <c r="J100" s="1033"/>
      <c r="K100" s="1033"/>
      <c r="L100" s="1033"/>
      <c r="M100" s="1033"/>
      <c r="N100" s="1033"/>
      <c r="O100" s="1033"/>
      <c r="P100" s="1033"/>
      <c r="Q100" s="1033"/>
      <c r="R100" s="1033"/>
      <c r="S100" s="1033"/>
      <c r="T100" s="1033"/>
      <c r="U100" s="1033"/>
      <c r="V100" s="1033"/>
      <c r="W100" s="1033"/>
      <c r="X100" s="1033"/>
      <c r="Y100" s="1033"/>
      <c r="Z100" s="1033"/>
      <c r="AA100" s="1033"/>
      <c r="AB100" s="1033"/>
      <c r="AC100" s="1033"/>
      <c r="AD100" s="1033"/>
      <c r="AE100" s="1033"/>
      <c r="AF100" s="1034"/>
      <c r="AH100" s="470"/>
      <c r="AI100" s="470"/>
      <c r="AJ100" s="470"/>
      <c r="AK100" s="470"/>
      <c r="AL100" s="470"/>
      <c r="AM100" s="470"/>
      <c r="AN100" s="470"/>
      <c r="AO100" s="470"/>
      <c r="AP100" s="470"/>
      <c r="AQ100" s="470"/>
      <c r="AR100" s="470"/>
      <c r="AS100" s="470"/>
      <c r="AT100" s="470"/>
      <c r="AU100" s="470"/>
      <c r="AV100" s="470"/>
      <c r="AW100" s="470"/>
      <c r="AX100" s="470"/>
      <c r="AY100" s="470"/>
      <c r="AZ100" s="470"/>
      <c r="BA100" s="470"/>
      <c r="BB100" s="470"/>
      <c r="BC100" s="470"/>
      <c r="BD100" s="470"/>
      <c r="BE100" s="470"/>
      <c r="BF100" s="470"/>
      <c r="BG100" s="470"/>
      <c r="BH100" s="470"/>
      <c r="BI100" s="470"/>
      <c r="BJ100" s="470"/>
    </row>
    <row r="101" spans="2:62" ht="15" customHeight="1" x14ac:dyDescent="0.2">
      <c r="B101" s="1047"/>
      <c r="D101" s="1035" t="s">
        <v>588</v>
      </c>
      <c r="E101" s="1036"/>
      <c r="F101" s="1036"/>
      <c r="G101" s="1036"/>
      <c r="H101" s="1036"/>
      <c r="I101" s="1036"/>
      <c r="J101" s="1036"/>
      <c r="K101" s="1036"/>
      <c r="L101" s="1036"/>
      <c r="M101" s="1036"/>
      <c r="N101" s="1036"/>
      <c r="O101" s="1036"/>
      <c r="P101" s="1036"/>
      <c r="Q101" s="1036"/>
      <c r="R101" s="1036"/>
      <c r="S101" s="1036"/>
      <c r="T101" s="1036"/>
      <c r="U101" s="1036"/>
      <c r="V101" s="1036"/>
      <c r="W101" s="1036"/>
      <c r="X101" s="1036"/>
      <c r="Y101" s="1036"/>
      <c r="Z101" s="1036"/>
      <c r="AA101" s="1036"/>
      <c r="AB101" s="1036"/>
      <c r="AC101" s="1037"/>
      <c r="AD101" s="1015" t="s">
        <v>600</v>
      </c>
      <c r="AE101" s="1015" t="s">
        <v>593</v>
      </c>
      <c r="AF101" s="1017" t="s">
        <v>601</v>
      </c>
      <c r="AH101" s="470"/>
      <c r="AI101" s="470"/>
      <c r="AJ101" s="470"/>
      <c r="AK101" s="470"/>
      <c r="AL101" s="470"/>
      <c r="AM101" s="470"/>
      <c r="AN101" s="470"/>
      <c r="AO101" s="470"/>
      <c r="AP101" s="470"/>
      <c r="AQ101" s="470"/>
      <c r="AR101" s="470"/>
      <c r="AS101" s="470"/>
      <c r="AT101" s="470"/>
      <c r="AU101" s="470"/>
      <c r="AV101" s="470"/>
      <c r="AW101" s="470"/>
      <c r="AX101" s="470"/>
      <c r="AY101" s="470"/>
      <c r="AZ101" s="470"/>
      <c r="BA101" s="470"/>
      <c r="BB101" s="470"/>
      <c r="BC101" s="470"/>
      <c r="BD101" s="470"/>
      <c r="BE101" s="470"/>
      <c r="BF101" s="470"/>
      <c r="BG101" s="470"/>
      <c r="BH101" s="470"/>
      <c r="BI101" s="470"/>
      <c r="BJ101" s="470"/>
    </row>
    <row r="102" spans="2:62" ht="15" customHeight="1" x14ac:dyDescent="0.2">
      <c r="B102" s="1047"/>
      <c r="D102" s="1019" t="s">
        <v>587</v>
      </c>
      <c r="E102" s="175"/>
      <c r="F102" s="176">
        <v>0</v>
      </c>
      <c r="G102" s="176">
        <v>1</v>
      </c>
      <c r="H102" s="176">
        <v>2</v>
      </c>
      <c r="I102" s="176">
        <v>3</v>
      </c>
      <c r="J102" s="176">
        <v>4</v>
      </c>
      <c r="K102" s="176">
        <v>5</v>
      </c>
      <c r="L102" s="176">
        <v>6</v>
      </c>
      <c r="M102" s="176">
        <v>7</v>
      </c>
      <c r="N102" s="176">
        <v>8</v>
      </c>
      <c r="O102" s="176">
        <v>9</v>
      </c>
      <c r="P102" s="176">
        <v>10</v>
      </c>
      <c r="Q102" s="176">
        <v>11</v>
      </c>
      <c r="R102" s="176">
        <v>12</v>
      </c>
      <c r="S102" s="176">
        <v>13</v>
      </c>
      <c r="T102" s="176">
        <v>14</v>
      </c>
      <c r="U102" s="176">
        <v>15</v>
      </c>
      <c r="V102" s="176">
        <v>16</v>
      </c>
      <c r="W102" s="176">
        <v>17</v>
      </c>
      <c r="X102" s="176">
        <v>18</v>
      </c>
      <c r="Y102" s="176">
        <v>19</v>
      </c>
      <c r="Z102" s="176">
        <v>20</v>
      </c>
      <c r="AA102" s="176">
        <v>21</v>
      </c>
      <c r="AB102" s="176">
        <v>22</v>
      </c>
      <c r="AC102" s="177">
        <v>23</v>
      </c>
      <c r="AD102" s="1016"/>
      <c r="AE102" s="1016"/>
      <c r="AF102" s="1018"/>
      <c r="AH102" s="470"/>
      <c r="AI102" s="470"/>
      <c r="AJ102" s="470"/>
      <c r="AK102" s="470"/>
      <c r="AL102" s="470"/>
      <c r="AM102" s="470"/>
      <c r="AN102" s="470"/>
      <c r="AO102" s="470"/>
      <c r="AP102" s="470"/>
      <c r="AQ102" s="470"/>
      <c r="AR102" s="470"/>
      <c r="AS102" s="470"/>
      <c r="AT102" s="470"/>
      <c r="AU102" s="470"/>
      <c r="AV102" s="470"/>
      <c r="AW102" s="470"/>
      <c r="AX102" s="470"/>
      <c r="AY102" s="470"/>
      <c r="AZ102" s="470"/>
      <c r="BA102" s="470"/>
      <c r="BB102" s="470"/>
      <c r="BC102" s="470"/>
      <c r="BD102" s="470"/>
      <c r="BE102" s="470"/>
      <c r="BF102" s="470"/>
      <c r="BG102" s="470"/>
      <c r="BH102" s="470"/>
      <c r="BI102" s="470"/>
      <c r="BJ102" s="470"/>
    </row>
    <row r="103" spans="2:62" ht="15" customHeight="1" x14ac:dyDescent="0.2">
      <c r="B103" s="1047"/>
      <c r="D103" s="1019"/>
      <c r="E103" s="178">
        <v>1</v>
      </c>
      <c r="F103" s="172">
        <f t="shared" ref="F103:AC103" si="14">$H$14*$H$67*F35*$H$13</f>
        <v>0</v>
      </c>
      <c r="G103" s="53">
        <f t="shared" si="14"/>
        <v>0</v>
      </c>
      <c r="H103" s="53">
        <f t="shared" si="14"/>
        <v>0</v>
      </c>
      <c r="I103" s="53">
        <f t="shared" si="14"/>
        <v>0</v>
      </c>
      <c r="J103" s="53">
        <f t="shared" si="14"/>
        <v>0</v>
      </c>
      <c r="K103" s="53">
        <f t="shared" si="14"/>
        <v>0</v>
      </c>
      <c r="L103" s="53">
        <f t="shared" si="14"/>
        <v>0</v>
      </c>
      <c r="M103" s="53">
        <f t="shared" si="14"/>
        <v>2.3251612903225807E-3</v>
      </c>
      <c r="N103" s="53">
        <f t="shared" si="14"/>
        <v>9.7754838709677421E-3</v>
      </c>
      <c r="O103" s="53">
        <f t="shared" si="14"/>
        <v>1.8291612903225809E-2</v>
      </c>
      <c r="P103" s="53">
        <f t="shared" si="14"/>
        <v>2.407741935483871E-2</v>
      </c>
      <c r="Q103" s="53">
        <f t="shared" si="14"/>
        <v>2.7120000000000002E-2</v>
      </c>
      <c r="R103" s="53">
        <f t="shared" si="14"/>
        <v>2.5527741935483874E-2</v>
      </c>
      <c r="S103" s="53">
        <f t="shared" si="14"/>
        <v>2.1886451612903226E-2</v>
      </c>
      <c r="T103" s="53">
        <f t="shared" si="14"/>
        <v>1.5814193548387097E-2</v>
      </c>
      <c r="U103" s="53">
        <f t="shared" si="14"/>
        <v>7.7703225806451618E-3</v>
      </c>
      <c r="V103" s="53">
        <f t="shared" si="14"/>
        <v>8.2838709677419357E-4</v>
      </c>
      <c r="W103" s="53">
        <f t="shared" si="14"/>
        <v>0</v>
      </c>
      <c r="X103" s="53">
        <f t="shared" si="14"/>
        <v>0</v>
      </c>
      <c r="Y103" s="53">
        <f t="shared" si="14"/>
        <v>0</v>
      </c>
      <c r="Z103" s="53">
        <f t="shared" si="14"/>
        <v>0</v>
      </c>
      <c r="AA103" s="53">
        <f t="shared" si="14"/>
        <v>0</v>
      </c>
      <c r="AB103" s="53">
        <f t="shared" si="14"/>
        <v>0</v>
      </c>
      <c r="AC103" s="174">
        <f t="shared" si="14"/>
        <v>0</v>
      </c>
      <c r="AD103" s="255">
        <f t="shared" ref="AD103:AD114" si="15">SUM(F103:AC103)</f>
        <v>0.15341677419354838</v>
      </c>
      <c r="AE103" s="2">
        <v>31</v>
      </c>
      <c r="AF103" s="63">
        <f t="shared" ref="AF103:AF114" si="16">AD103*AE103</f>
        <v>4.7559199999999997</v>
      </c>
      <c r="AH103" s="470"/>
      <c r="AI103" s="470"/>
      <c r="AJ103" s="470"/>
      <c r="AK103" s="470"/>
      <c r="AL103" s="470"/>
      <c r="AM103" s="470"/>
      <c r="AN103" s="470"/>
      <c r="AO103" s="470"/>
      <c r="AP103" s="470"/>
      <c r="AQ103" s="470"/>
      <c r="AR103" s="470"/>
      <c r="AS103" s="470"/>
      <c r="AT103" s="470"/>
      <c r="AU103" s="470"/>
      <c r="AV103" s="470"/>
      <c r="AW103" s="470"/>
      <c r="AX103" s="470"/>
      <c r="AY103" s="470"/>
      <c r="AZ103" s="470"/>
      <c r="BA103" s="470"/>
      <c r="BB103" s="470"/>
      <c r="BC103" s="470"/>
      <c r="BD103" s="470"/>
      <c r="BE103" s="470"/>
      <c r="BF103" s="470"/>
      <c r="BG103" s="470"/>
      <c r="BH103" s="470"/>
      <c r="BI103" s="470"/>
      <c r="BJ103" s="470"/>
    </row>
    <row r="104" spans="2:62" ht="15" customHeight="1" x14ac:dyDescent="0.2">
      <c r="B104" s="1047"/>
      <c r="D104" s="1019"/>
      <c r="E104" s="178">
        <v>2</v>
      </c>
      <c r="F104" s="163">
        <f t="shared" ref="F104:AC104" si="17">$H$14*$H$67*F36*$H$13</f>
        <v>0</v>
      </c>
      <c r="G104" s="3">
        <f t="shared" si="17"/>
        <v>0</v>
      </c>
      <c r="H104" s="3">
        <f t="shared" si="17"/>
        <v>0</v>
      </c>
      <c r="I104" s="3">
        <f t="shared" si="17"/>
        <v>0</v>
      </c>
      <c r="J104" s="3">
        <f t="shared" si="17"/>
        <v>0</v>
      </c>
      <c r="K104" s="3">
        <f t="shared" si="17"/>
        <v>0</v>
      </c>
      <c r="L104" s="3">
        <f t="shared" si="17"/>
        <v>6.2857142857142861E-5</v>
      </c>
      <c r="M104" s="3">
        <f t="shared" si="17"/>
        <v>5.4857142857142865E-3</v>
      </c>
      <c r="N104" s="3">
        <f t="shared" si="17"/>
        <v>1.512E-2</v>
      </c>
      <c r="O104" s="3">
        <f t="shared" si="17"/>
        <v>2.3928571428571428E-2</v>
      </c>
      <c r="P104" s="3">
        <f t="shared" si="17"/>
        <v>3.0605714285714285E-2</v>
      </c>
      <c r="Q104" s="3">
        <f t="shared" si="17"/>
        <v>3.3774285714285715E-2</v>
      </c>
      <c r="R104" s="3">
        <f t="shared" si="17"/>
        <v>3.3768571428571426E-2</v>
      </c>
      <c r="S104" s="3">
        <f t="shared" si="17"/>
        <v>3.0437142857142857E-2</v>
      </c>
      <c r="T104" s="3">
        <f t="shared" si="17"/>
        <v>2.4774285714285717E-2</v>
      </c>
      <c r="U104" s="3">
        <f t="shared" si="17"/>
        <v>1.5217142857142858E-2</v>
      </c>
      <c r="V104" s="3">
        <f t="shared" si="17"/>
        <v>5.1000000000000004E-3</v>
      </c>
      <c r="W104" s="3">
        <f t="shared" si="17"/>
        <v>0</v>
      </c>
      <c r="X104" s="3">
        <f t="shared" si="17"/>
        <v>0</v>
      </c>
      <c r="Y104" s="3">
        <f t="shared" si="17"/>
        <v>0</v>
      </c>
      <c r="Z104" s="3">
        <f t="shared" si="17"/>
        <v>0</v>
      </c>
      <c r="AA104" s="3">
        <f t="shared" si="17"/>
        <v>0</v>
      </c>
      <c r="AB104" s="3">
        <f t="shared" si="17"/>
        <v>0</v>
      </c>
      <c r="AC104" s="171">
        <f t="shared" si="17"/>
        <v>0</v>
      </c>
      <c r="AD104" s="255">
        <f t="shared" si="15"/>
        <v>0.2182742857142857</v>
      </c>
      <c r="AE104" s="2">
        <v>28</v>
      </c>
      <c r="AF104" s="63">
        <f t="shared" si="16"/>
        <v>6.1116799999999998</v>
      </c>
      <c r="AH104" s="470"/>
      <c r="AI104" s="470"/>
      <c r="AJ104" s="470"/>
      <c r="AK104" s="470"/>
      <c r="AL104" s="470"/>
      <c r="AM104" s="470"/>
      <c r="AN104" s="470"/>
      <c r="AO104" s="470"/>
      <c r="AP104" s="470"/>
      <c r="AQ104" s="470"/>
      <c r="AR104" s="470"/>
      <c r="AS104" s="470"/>
      <c r="AT104" s="470"/>
      <c r="AU104" s="470"/>
      <c r="AV104" s="470"/>
      <c r="AW104" s="470"/>
      <c r="AX104" s="470"/>
      <c r="AY104" s="470"/>
      <c r="AZ104" s="470"/>
      <c r="BA104" s="470"/>
      <c r="BB104" s="470"/>
      <c r="BC104" s="470"/>
      <c r="BD104" s="470"/>
      <c r="BE104" s="470"/>
      <c r="BF104" s="470"/>
      <c r="BG104" s="470"/>
      <c r="BH104" s="470"/>
      <c r="BI104" s="470"/>
      <c r="BJ104" s="470"/>
    </row>
    <row r="105" spans="2:62" ht="15" customHeight="1" x14ac:dyDescent="0.2">
      <c r="B105" s="1047"/>
      <c r="D105" s="1019"/>
      <c r="E105" s="178">
        <v>3</v>
      </c>
      <c r="F105" s="163">
        <f t="shared" ref="F105:AC105" si="18">$H$14*$H$67*F37*$H$13</f>
        <v>0</v>
      </c>
      <c r="G105" s="3">
        <f t="shared" si="18"/>
        <v>0</v>
      </c>
      <c r="H105" s="3">
        <f t="shared" si="18"/>
        <v>0</v>
      </c>
      <c r="I105" s="3">
        <f t="shared" si="18"/>
        <v>0</v>
      </c>
      <c r="J105" s="3">
        <f t="shared" si="18"/>
        <v>0</v>
      </c>
      <c r="K105" s="3">
        <f t="shared" si="18"/>
        <v>0</v>
      </c>
      <c r="L105" s="3">
        <f t="shared" si="18"/>
        <v>4.343225806451613E-3</v>
      </c>
      <c r="M105" s="3">
        <f t="shared" si="18"/>
        <v>1.2843870967741937E-2</v>
      </c>
      <c r="N105" s="3">
        <f t="shared" si="18"/>
        <v>2.175483870967742E-2</v>
      </c>
      <c r="O105" s="3">
        <f t="shared" si="18"/>
        <v>3.2456774193548386E-2</v>
      </c>
      <c r="P105" s="3">
        <f t="shared" si="18"/>
        <v>4.1032258064516124E-2</v>
      </c>
      <c r="Q105" s="3">
        <f t="shared" si="18"/>
        <v>4.5158709677419362E-2</v>
      </c>
      <c r="R105" s="3">
        <f t="shared" si="18"/>
        <v>4.4474838709677417E-2</v>
      </c>
      <c r="S105" s="3">
        <f t="shared" si="18"/>
        <v>3.884903225806452E-2</v>
      </c>
      <c r="T105" s="3">
        <f t="shared" si="18"/>
        <v>3.0913548387096777E-2</v>
      </c>
      <c r="U105" s="3">
        <f t="shared" si="18"/>
        <v>2.2198709677419357E-2</v>
      </c>
      <c r="V105" s="3">
        <f t="shared" si="18"/>
        <v>1.1089032258064518E-2</v>
      </c>
      <c r="W105" s="3">
        <f t="shared" si="18"/>
        <v>2.0774193548387101E-3</v>
      </c>
      <c r="X105" s="3">
        <f t="shared" si="18"/>
        <v>0</v>
      </c>
      <c r="Y105" s="3">
        <f t="shared" si="18"/>
        <v>0</v>
      </c>
      <c r="Z105" s="3">
        <f t="shared" si="18"/>
        <v>0</v>
      </c>
      <c r="AA105" s="3">
        <f t="shared" si="18"/>
        <v>0</v>
      </c>
      <c r="AB105" s="3">
        <f t="shared" si="18"/>
        <v>0</v>
      </c>
      <c r="AC105" s="171">
        <f t="shared" si="18"/>
        <v>0</v>
      </c>
      <c r="AD105" s="255">
        <f t="shared" si="15"/>
        <v>0.30719225806451611</v>
      </c>
      <c r="AE105" s="2">
        <v>31</v>
      </c>
      <c r="AF105" s="63">
        <f t="shared" si="16"/>
        <v>9.5229599999999994</v>
      </c>
      <c r="AH105" s="470"/>
      <c r="AI105" s="470"/>
      <c r="AJ105" s="470"/>
      <c r="AK105" s="470"/>
      <c r="AL105" s="470"/>
      <c r="AM105" s="470"/>
      <c r="AN105" s="470"/>
      <c r="AO105" s="470"/>
      <c r="AP105" s="470"/>
      <c r="AQ105" s="470"/>
      <c r="AR105" s="470"/>
      <c r="AS105" s="470"/>
      <c r="AT105" s="470"/>
      <c r="AU105" s="470"/>
      <c r="AV105" s="470"/>
      <c r="AW105" s="470"/>
      <c r="AX105" s="470"/>
      <c r="AY105" s="470"/>
      <c r="AZ105" s="470"/>
      <c r="BA105" s="470"/>
      <c r="BB105" s="470"/>
      <c r="BC105" s="470"/>
      <c r="BD105" s="470"/>
      <c r="BE105" s="470"/>
      <c r="BF105" s="470"/>
      <c r="BG105" s="470"/>
      <c r="BH105" s="470"/>
      <c r="BI105" s="470"/>
      <c r="BJ105" s="470"/>
    </row>
    <row r="106" spans="2:62" ht="15" customHeight="1" x14ac:dyDescent="0.2">
      <c r="B106" s="1047"/>
      <c r="D106" s="1019"/>
      <c r="E106" s="178">
        <v>4</v>
      </c>
      <c r="F106" s="163">
        <f t="shared" ref="F106:AC106" si="19">$H$14*$H$67*F38*$H$13</f>
        <v>0</v>
      </c>
      <c r="G106" s="3">
        <f t="shared" si="19"/>
        <v>0</v>
      </c>
      <c r="H106" s="3">
        <f t="shared" si="19"/>
        <v>0</v>
      </c>
      <c r="I106" s="3">
        <f t="shared" si="19"/>
        <v>0</v>
      </c>
      <c r="J106" s="3">
        <f t="shared" si="19"/>
        <v>0</v>
      </c>
      <c r="K106" s="3">
        <f t="shared" si="19"/>
        <v>2.3013333333333332E-3</v>
      </c>
      <c r="L106" s="3">
        <f t="shared" si="19"/>
        <v>1.0205333333333334E-2</v>
      </c>
      <c r="M106" s="3">
        <f t="shared" si="19"/>
        <v>2.0938666666666671E-2</v>
      </c>
      <c r="N106" s="3">
        <f t="shared" si="19"/>
        <v>3.4357333333333337E-2</v>
      </c>
      <c r="O106" s="3">
        <f t="shared" si="19"/>
        <v>4.6882666666666663E-2</v>
      </c>
      <c r="P106" s="3">
        <f t="shared" si="19"/>
        <v>5.5640000000000002E-2</v>
      </c>
      <c r="Q106" s="3">
        <f t="shared" si="19"/>
        <v>5.696533333333334E-2</v>
      </c>
      <c r="R106" s="3">
        <f t="shared" si="19"/>
        <v>5.5613333333333327E-2</v>
      </c>
      <c r="S106" s="3">
        <f t="shared" si="19"/>
        <v>5.1138666666666666E-2</v>
      </c>
      <c r="T106" s="3">
        <f t="shared" si="19"/>
        <v>4.0829333333333329E-2</v>
      </c>
      <c r="U106" s="3">
        <f t="shared" si="19"/>
        <v>2.9317333333333334E-2</v>
      </c>
      <c r="V106" s="3">
        <f t="shared" si="19"/>
        <v>1.7373333333333331E-2</v>
      </c>
      <c r="W106" s="3">
        <f t="shared" si="19"/>
        <v>6.5120000000000004E-3</v>
      </c>
      <c r="X106" s="3">
        <f t="shared" si="19"/>
        <v>5.5999999999999999E-5</v>
      </c>
      <c r="Y106" s="3">
        <f t="shared" si="19"/>
        <v>0</v>
      </c>
      <c r="Z106" s="3">
        <f t="shared" si="19"/>
        <v>0</v>
      </c>
      <c r="AA106" s="3">
        <f t="shared" si="19"/>
        <v>0</v>
      </c>
      <c r="AB106" s="3">
        <f t="shared" si="19"/>
        <v>0</v>
      </c>
      <c r="AC106" s="171">
        <f t="shared" si="19"/>
        <v>0</v>
      </c>
      <c r="AD106" s="255">
        <f t="shared" si="15"/>
        <v>0.42813066666666666</v>
      </c>
      <c r="AE106" s="2">
        <v>30</v>
      </c>
      <c r="AF106" s="63">
        <f t="shared" si="16"/>
        <v>12.843920000000001</v>
      </c>
      <c r="AH106" s="470"/>
      <c r="AI106" s="470"/>
      <c r="AJ106" s="470"/>
      <c r="AK106" s="470"/>
      <c r="AL106" s="470"/>
      <c r="AM106" s="470"/>
      <c r="AN106" s="470"/>
      <c r="AO106" s="470"/>
      <c r="AP106" s="470"/>
      <c r="AQ106" s="470"/>
      <c r="AR106" s="470"/>
      <c r="AS106" s="470"/>
      <c r="AT106" s="470"/>
      <c r="AU106" s="470"/>
      <c r="AV106" s="470"/>
      <c r="AW106" s="470"/>
      <c r="AX106" s="470"/>
      <c r="AY106" s="470"/>
      <c r="AZ106" s="470"/>
      <c r="BA106" s="470"/>
      <c r="BB106" s="470"/>
      <c r="BC106" s="470"/>
      <c r="BD106" s="470"/>
      <c r="BE106" s="470"/>
      <c r="BF106" s="470"/>
      <c r="BG106" s="470"/>
      <c r="BH106" s="470"/>
      <c r="BI106" s="470"/>
      <c r="BJ106" s="470"/>
    </row>
    <row r="107" spans="2:62" ht="15" customHeight="1" x14ac:dyDescent="0.2">
      <c r="B107" s="1047"/>
      <c r="D107" s="1019"/>
      <c r="E107" s="178">
        <v>5</v>
      </c>
      <c r="F107" s="163">
        <f t="shared" ref="F107:AC107" si="20">$H$14*$H$67*F39*$H$13</f>
        <v>0</v>
      </c>
      <c r="G107" s="3">
        <f t="shared" si="20"/>
        <v>0</v>
      </c>
      <c r="H107" s="3">
        <f t="shared" si="20"/>
        <v>0</v>
      </c>
      <c r="I107" s="3">
        <f t="shared" si="20"/>
        <v>0</v>
      </c>
      <c r="J107" s="3">
        <f t="shared" si="20"/>
        <v>2.6580645161290327E-4</v>
      </c>
      <c r="K107" s="3">
        <f t="shared" si="20"/>
        <v>6.0567741935483865E-3</v>
      </c>
      <c r="L107" s="3">
        <f t="shared" si="20"/>
        <v>1.694451612903226E-2</v>
      </c>
      <c r="M107" s="3">
        <f t="shared" si="20"/>
        <v>2.7785806451612906E-2</v>
      </c>
      <c r="N107" s="3">
        <f t="shared" si="20"/>
        <v>3.870967741935484E-2</v>
      </c>
      <c r="O107" s="3">
        <f t="shared" si="20"/>
        <v>4.8418064516129039E-2</v>
      </c>
      <c r="P107" s="3">
        <f t="shared" si="20"/>
        <v>5.4735483870967744E-2</v>
      </c>
      <c r="Q107" s="3">
        <f t="shared" si="20"/>
        <v>5.7076129032258074E-2</v>
      </c>
      <c r="R107" s="3">
        <f t="shared" si="20"/>
        <v>5.6516129032258069E-2</v>
      </c>
      <c r="S107" s="3">
        <f t="shared" si="20"/>
        <v>4.966709677419355E-2</v>
      </c>
      <c r="T107" s="3">
        <f t="shared" si="20"/>
        <v>4.1994838709677414E-2</v>
      </c>
      <c r="U107" s="3">
        <f t="shared" si="20"/>
        <v>3.4237419354838712E-2</v>
      </c>
      <c r="V107" s="3">
        <f t="shared" si="20"/>
        <v>2.126967741935484E-2</v>
      </c>
      <c r="W107" s="3">
        <f t="shared" si="20"/>
        <v>1.0056774193548387E-2</v>
      </c>
      <c r="X107" s="3">
        <f t="shared" si="20"/>
        <v>2.0129032258064516E-3</v>
      </c>
      <c r="Y107" s="3">
        <f t="shared" si="20"/>
        <v>0</v>
      </c>
      <c r="Z107" s="3">
        <f t="shared" si="20"/>
        <v>0</v>
      </c>
      <c r="AA107" s="3">
        <f t="shared" si="20"/>
        <v>0</v>
      </c>
      <c r="AB107" s="3">
        <f t="shared" si="20"/>
        <v>0</v>
      </c>
      <c r="AC107" s="171">
        <f t="shared" si="20"/>
        <v>0</v>
      </c>
      <c r="AD107" s="255">
        <f t="shared" si="15"/>
        <v>0.46574709677419351</v>
      </c>
      <c r="AE107" s="2">
        <v>31</v>
      </c>
      <c r="AF107" s="63">
        <f t="shared" si="16"/>
        <v>14.438159999999998</v>
      </c>
      <c r="AH107" s="470"/>
      <c r="AI107" s="470"/>
      <c r="AJ107" s="470"/>
      <c r="AK107" s="470"/>
      <c r="AL107" s="470"/>
      <c r="AM107" s="470"/>
      <c r="AN107" s="470"/>
      <c r="AO107" s="470"/>
      <c r="AP107" s="470"/>
      <c r="AQ107" s="470"/>
      <c r="AR107" s="470"/>
      <c r="AS107" s="470"/>
      <c r="AT107" s="470"/>
      <c r="AU107" s="470"/>
      <c r="AV107" s="470"/>
      <c r="AW107" s="470"/>
      <c r="AX107" s="470"/>
      <c r="AY107" s="470"/>
      <c r="AZ107" s="470"/>
      <c r="BA107" s="470"/>
      <c r="BB107" s="470"/>
      <c r="BC107" s="470"/>
      <c r="BD107" s="470"/>
      <c r="BE107" s="470"/>
      <c r="BF107" s="470"/>
      <c r="BG107" s="470"/>
      <c r="BH107" s="470"/>
      <c r="BI107" s="470"/>
      <c r="BJ107" s="470"/>
    </row>
    <row r="108" spans="2:62" ht="15" customHeight="1" x14ac:dyDescent="0.2">
      <c r="B108" s="1047"/>
      <c r="D108" s="1019"/>
      <c r="E108" s="178">
        <v>6</v>
      </c>
      <c r="F108" s="163">
        <f t="shared" ref="F108:AC108" si="21">$H$14*$H$67*F40*$H$13</f>
        <v>0</v>
      </c>
      <c r="G108" s="3">
        <f t="shared" si="21"/>
        <v>0</v>
      </c>
      <c r="H108" s="3">
        <f t="shared" si="21"/>
        <v>0</v>
      </c>
      <c r="I108" s="3">
        <f t="shared" si="21"/>
        <v>0</v>
      </c>
      <c r="J108" s="3">
        <f t="shared" si="21"/>
        <v>1.08E-3</v>
      </c>
      <c r="K108" s="3">
        <f t="shared" si="21"/>
        <v>8.848E-3</v>
      </c>
      <c r="L108" s="3">
        <f t="shared" si="21"/>
        <v>1.9738666666666668E-2</v>
      </c>
      <c r="M108" s="3">
        <f t="shared" si="21"/>
        <v>2.900266666666667E-2</v>
      </c>
      <c r="N108" s="3">
        <f t="shared" si="21"/>
        <v>3.9015999999999995E-2</v>
      </c>
      <c r="O108" s="3">
        <f t="shared" si="21"/>
        <v>4.8423999999999995E-2</v>
      </c>
      <c r="P108" s="3">
        <f t="shared" si="21"/>
        <v>5.6576000000000008E-2</v>
      </c>
      <c r="Q108" s="3">
        <f t="shared" si="21"/>
        <v>6.0488E-2</v>
      </c>
      <c r="R108" s="3">
        <f t="shared" si="21"/>
        <v>5.8554666666666665E-2</v>
      </c>
      <c r="S108" s="3">
        <f t="shared" si="21"/>
        <v>5.4349333333333333E-2</v>
      </c>
      <c r="T108" s="3">
        <f t="shared" si="21"/>
        <v>4.8200000000000007E-2</v>
      </c>
      <c r="U108" s="3">
        <f t="shared" si="21"/>
        <v>3.6880000000000003E-2</v>
      </c>
      <c r="V108" s="3">
        <f t="shared" si="21"/>
        <v>2.6042666666666669E-2</v>
      </c>
      <c r="W108" s="3">
        <f t="shared" si="21"/>
        <v>1.4053333333333334E-2</v>
      </c>
      <c r="X108" s="3">
        <f t="shared" si="21"/>
        <v>4.4346666666666666E-3</v>
      </c>
      <c r="Y108" s="3">
        <f t="shared" si="21"/>
        <v>0</v>
      </c>
      <c r="Z108" s="3">
        <f t="shared" si="21"/>
        <v>0</v>
      </c>
      <c r="AA108" s="3">
        <f t="shared" si="21"/>
        <v>0</v>
      </c>
      <c r="AB108" s="3">
        <f t="shared" si="21"/>
        <v>0</v>
      </c>
      <c r="AC108" s="171">
        <f t="shared" si="21"/>
        <v>0</v>
      </c>
      <c r="AD108" s="255">
        <f t="shared" si="15"/>
        <v>0.50568800000000003</v>
      </c>
      <c r="AE108" s="2">
        <v>30</v>
      </c>
      <c r="AF108" s="63">
        <f t="shared" si="16"/>
        <v>15.170640000000001</v>
      </c>
      <c r="AH108" s="470"/>
      <c r="AI108" s="470"/>
      <c r="AJ108" s="470"/>
      <c r="AK108" s="470"/>
      <c r="AL108" s="470"/>
      <c r="AM108" s="470"/>
      <c r="AN108" s="470"/>
      <c r="AO108" s="470"/>
      <c r="AP108" s="470"/>
      <c r="AQ108" s="470"/>
      <c r="AR108" s="470"/>
      <c r="AS108" s="470"/>
      <c r="AT108" s="470"/>
      <c r="AU108" s="470"/>
      <c r="AV108" s="470"/>
      <c r="AW108" s="470"/>
      <c r="AX108" s="470"/>
      <c r="AY108" s="470"/>
      <c r="AZ108" s="470"/>
      <c r="BA108" s="470"/>
      <c r="BB108" s="470"/>
      <c r="BC108" s="470"/>
      <c r="BD108" s="470"/>
      <c r="BE108" s="470"/>
      <c r="BF108" s="470"/>
      <c r="BG108" s="470"/>
      <c r="BH108" s="470"/>
      <c r="BI108" s="470"/>
      <c r="BJ108" s="470"/>
    </row>
    <row r="109" spans="2:62" ht="15" customHeight="1" x14ac:dyDescent="0.2">
      <c r="B109" s="1047"/>
      <c r="D109" s="1019"/>
      <c r="E109" s="178">
        <v>7</v>
      </c>
      <c r="F109" s="163">
        <f t="shared" ref="F109:AC109" si="22">$H$14*$H$67*F41*$H$13</f>
        <v>0</v>
      </c>
      <c r="G109" s="3">
        <f t="shared" si="22"/>
        <v>0</v>
      </c>
      <c r="H109" s="3">
        <f t="shared" si="22"/>
        <v>0</v>
      </c>
      <c r="I109" s="3">
        <f t="shared" si="22"/>
        <v>0</v>
      </c>
      <c r="J109" s="3">
        <f t="shared" si="22"/>
        <v>2.1677419354838707E-4</v>
      </c>
      <c r="K109" s="3">
        <f t="shared" si="22"/>
        <v>6.985806451612904E-3</v>
      </c>
      <c r="L109" s="3">
        <f t="shared" si="22"/>
        <v>1.726193548387097E-2</v>
      </c>
      <c r="M109" s="3">
        <f t="shared" si="22"/>
        <v>3.0387096774193548E-2</v>
      </c>
      <c r="N109" s="3">
        <f t="shared" si="22"/>
        <v>4.4402580645161283E-2</v>
      </c>
      <c r="O109" s="3">
        <f t="shared" si="22"/>
        <v>5.2993548387096773E-2</v>
      </c>
      <c r="P109" s="3">
        <f t="shared" si="22"/>
        <v>6.0645161290322588E-2</v>
      </c>
      <c r="Q109" s="3">
        <f t="shared" si="22"/>
        <v>6.4301935483870962E-2</v>
      </c>
      <c r="R109" s="3">
        <f t="shared" si="22"/>
        <v>6.1545806451612908E-2</v>
      </c>
      <c r="S109" s="3">
        <f t="shared" si="22"/>
        <v>5.5788387096774195E-2</v>
      </c>
      <c r="T109" s="3">
        <f t="shared" si="22"/>
        <v>4.9223225806451609E-2</v>
      </c>
      <c r="U109" s="3">
        <f t="shared" si="22"/>
        <v>3.7045161290322585E-2</v>
      </c>
      <c r="V109" s="3">
        <f t="shared" si="22"/>
        <v>2.7143225806451614E-2</v>
      </c>
      <c r="W109" s="3">
        <f t="shared" si="22"/>
        <v>1.463483870967742E-2</v>
      </c>
      <c r="X109" s="3">
        <f t="shared" si="22"/>
        <v>3.9638709677419356E-3</v>
      </c>
      <c r="Y109" s="3">
        <f t="shared" si="22"/>
        <v>0</v>
      </c>
      <c r="Z109" s="3">
        <f t="shared" si="22"/>
        <v>0</v>
      </c>
      <c r="AA109" s="3">
        <f t="shared" si="22"/>
        <v>0</v>
      </c>
      <c r="AB109" s="3">
        <f t="shared" si="22"/>
        <v>0</v>
      </c>
      <c r="AC109" s="171">
        <f t="shared" si="22"/>
        <v>0</v>
      </c>
      <c r="AD109" s="255">
        <f t="shared" si="15"/>
        <v>0.52653935483870973</v>
      </c>
      <c r="AE109" s="2">
        <v>31</v>
      </c>
      <c r="AF109" s="63">
        <f t="shared" si="16"/>
        <v>16.32272</v>
      </c>
      <c r="AH109" s="470"/>
      <c r="AI109" s="470"/>
      <c r="AJ109" s="470"/>
      <c r="AK109" s="470"/>
      <c r="AL109" s="470"/>
      <c r="AM109" s="470"/>
      <c r="AN109" s="470"/>
      <c r="AO109" s="470"/>
      <c r="AP109" s="470"/>
      <c r="AQ109" s="470"/>
      <c r="AR109" s="470"/>
      <c r="AS109" s="470"/>
      <c r="AT109" s="470"/>
      <c r="AU109" s="470"/>
      <c r="AV109" s="470"/>
      <c r="AW109" s="470"/>
      <c r="AX109" s="470"/>
      <c r="AY109" s="470"/>
      <c r="AZ109" s="470"/>
      <c r="BA109" s="470"/>
      <c r="BB109" s="470"/>
      <c r="BC109" s="470"/>
      <c r="BD109" s="470"/>
      <c r="BE109" s="470"/>
      <c r="BF109" s="470"/>
      <c r="BG109" s="470"/>
      <c r="BH109" s="470"/>
      <c r="BI109" s="470"/>
      <c r="BJ109" s="470"/>
    </row>
    <row r="110" spans="2:62" ht="15" customHeight="1" x14ac:dyDescent="0.2">
      <c r="B110" s="1047"/>
      <c r="D110" s="1019"/>
      <c r="E110" s="178">
        <v>8</v>
      </c>
      <c r="F110" s="163">
        <f t="shared" ref="F110:AC110" si="23">$H$14*$H$67*F42*$H$13</f>
        <v>0</v>
      </c>
      <c r="G110" s="3">
        <f t="shared" si="23"/>
        <v>0</v>
      </c>
      <c r="H110" s="3">
        <f t="shared" si="23"/>
        <v>0</v>
      </c>
      <c r="I110" s="3">
        <f t="shared" si="23"/>
        <v>0</v>
      </c>
      <c r="J110" s="3">
        <f t="shared" si="23"/>
        <v>0</v>
      </c>
      <c r="K110" s="3">
        <f t="shared" si="23"/>
        <v>3.814193548387097E-3</v>
      </c>
      <c r="L110" s="3">
        <f t="shared" si="23"/>
        <v>1.4849032258064516E-2</v>
      </c>
      <c r="M110" s="3">
        <f t="shared" si="23"/>
        <v>2.6712258064516128E-2</v>
      </c>
      <c r="N110" s="3">
        <f t="shared" si="23"/>
        <v>3.7460645161290322E-2</v>
      </c>
      <c r="O110" s="3">
        <f t="shared" si="23"/>
        <v>4.6745806451612908E-2</v>
      </c>
      <c r="P110" s="3">
        <f t="shared" si="23"/>
        <v>5.1772903225806452E-2</v>
      </c>
      <c r="Q110" s="3">
        <f t="shared" si="23"/>
        <v>5.6415483870967745E-2</v>
      </c>
      <c r="R110" s="3">
        <f t="shared" si="23"/>
        <v>5.5692903225806445E-2</v>
      </c>
      <c r="S110" s="3">
        <f t="shared" si="23"/>
        <v>5.298580645161291E-2</v>
      </c>
      <c r="T110" s="3">
        <f t="shared" si="23"/>
        <v>4.5690322580645162E-2</v>
      </c>
      <c r="U110" s="3">
        <f t="shared" si="23"/>
        <v>3.436387096774194E-2</v>
      </c>
      <c r="V110" s="3">
        <f t="shared" si="23"/>
        <v>2.2255483870967742E-2</v>
      </c>
      <c r="W110" s="3">
        <f t="shared" si="23"/>
        <v>8.9548387096774189E-3</v>
      </c>
      <c r="X110" s="3">
        <f t="shared" si="23"/>
        <v>9.264516129032258E-4</v>
      </c>
      <c r="Y110" s="3">
        <f t="shared" si="23"/>
        <v>0</v>
      </c>
      <c r="Z110" s="3">
        <f t="shared" si="23"/>
        <v>0</v>
      </c>
      <c r="AA110" s="3">
        <f t="shared" si="23"/>
        <v>0</v>
      </c>
      <c r="AB110" s="3">
        <f t="shared" si="23"/>
        <v>0</v>
      </c>
      <c r="AC110" s="171">
        <f t="shared" si="23"/>
        <v>0</v>
      </c>
      <c r="AD110" s="255">
        <f t="shared" si="15"/>
        <v>0.45864000000000005</v>
      </c>
      <c r="AE110" s="2">
        <v>31</v>
      </c>
      <c r="AF110" s="63">
        <f t="shared" si="16"/>
        <v>14.217840000000001</v>
      </c>
      <c r="AH110" s="470"/>
      <c r="AI110" s="470"/>
      <c r="AJ110" s="470"/>
      <c r="AK110" s="470"/>
      <c r="AL110" s="470"/>
      <c r="AM110" s="470"/>
      <c r="AN110" s="470"/>
      <c r="AO110" s="470"/>
      <c r="AP110" s="470"/>
      <c r="AQ110" s="470"/>
      <c r="AR110" s="470"/>
      <c r="AS110" s="470"/>
      <c r="AT110" s="470"/>
      <c r="AU110" s="470"/>
      <c r="AV110" s="470"/>
      <c r="AW110" s="470"/>
      <c r="AX110" s="470"/>
      <c r="AY110" s="470"/>
      <c r="AZ110" s="470"/>
      <c r="BA110" s="470"/>
      <c r="BB110" s="470"/>
      <c r="BC110" s="470"/>
      <c r="BD110" s="470"/>
      <c r="BE110" s="470"/>
      <c r="BF110" s="470"/>
      <c r="BG110" s="470"/>
      <c r="BH110" s="470"/>
      <c r="BI110" s="470"/>
      <c r="BJ110" s="470"/>
    </row>
    <row r="111" spans="2:62" ht="15" customHeight="1" x14ac:dyDescent="0.2">
      <c r="B111" s="1047"/>
      <c r="D111" s="1019"/>
      <c r="E111" s="178">
        <v>9</v>
      </c>
      <c r="F111" s="163">
        <f t="shared" ref="F111:AC111" si="24">$H$14*$H$67*F43*$H$13</f>
        <v>0</v>
      </c>
      <c r="G111" s="3">
        <f t="shared" si="24"/>
        <v>0</v>
      </c>
      <c r="H111" s="3">
        <f t="shared" si="24"/>
        <v>0</v>
      </c>
      <c r="I111" s="3">
        <f t="shared" si="24"/>
        <v>0</v>
      </c>
      <c r="J111" s="3">
        <f t="shared" si="24"/>
        <v>0</v>
      </c>
      <c r="K111" s="3">
        <f t="shared" si="24"/>
        <v>4.6666666666666661E-4</v>
      </c>
      <c r="L111" s="3">
        <f t="shared" si="24"/>
        <v>9.9279999999999993E-3</v>
      </c>
      <c r="M111" s="3">
        <f t="shared" si="24"/>
        <v>1.9533333333333333E-2</v>
      </c>
      <c r="N111" s="3">
        <f t="shared" si="24"/>
        <v>3.2719999999999999E-2</v>
      </c>
      <c r="O111" s="3">
        <f t="shared" si="24"/>
        <v>4.2325333333333333E-2</v>
      </c>
      <c r="P111" s="3">
        <f t="shared" si="24"/>
        <v>4.845066666666667E-2</v>
      </c>
      <c r="Q111" s="3">
        <f t="shared" si="24"/>
        <v>5.2701333333333329E-2</v>
      </c>
      <c r="R111" s="3">
        <f t="shared" si="24"/>
        <v>5.0842666666666661E-2</v>
      </c>
      <c r="S111" s="3">
        <f t="shared" si="24"/>
        <v>4.6557333333333339E-2</v>
      </c>
      <c r="T111" s="3">
        <f t="shared" si="24"/>
        <v>3.5231999999999999E-2</v>
      </c>
      <c r="U111" s="3">
        <f t="shared" si="24"/>
        <v>2.4250666666666667E-2</v>
      </c>
      <c r="V111" s="3">
        <f t="shared" si="24"/>
        <v>1.2181333333333336E-2</v>
      </c>
      <c r="W111" s="3">
        <f t="shared" si="24"/>
        <v>2.4159999999999997E-3</v>
      </c>
      <c r="X111" s="3">
        <f t="shared" si="24"/>
        <v>0</v>
      </c>
      <c r="Y111" s="3">
        <f t="shared" si="24"/>
        <v>0</v>
      </c>
      <c r="Z111" s="3">
        <f t="shared" si="24"/>
        <v>0</v>
      </c>
      <c r="AA111" s="3">
        <f t="shared" si="24"/>
        <v>0</v>
      </c>
      <c r="AB111" s="3">
        <f t="shared" si="24"/>
        <v>0</v>
      </c>
      <c r="AC111" s="171">
        <f t="shared" si="24"/>
        <v>0</v>
      </c>
      <c r="AD111" s="255">
        <f t="shared" si="15"/>
        <v>0.37760533333333324</v>
      </c>
      <c r="AE111" s="2">
        <v>30</v>
      </c>
      <c r="AF111" s="63">
        <f t="shared" si="16"/>
        <v>11.328159999999997</v>
      </c>
      <c r="AH111" s="470"/>
      <c r="AI111" s="470"/>
      <c r="AJ111" s="470"/>
      <c r="AK111" s="470"/>
      <c r="AL111" s="470"/>
      <c r="AM111" s="470"/>
      <c r="AN111" s="470"/>
      <c r="AO111" s="470"/>
      <c r="AP111" s="470"/>
      <c r="AQ111" s="470"/>
      <c r="AR111" s="470"/>
      <c r="AS111" s="470"/>
      <c r="AT111" s="470"/>
      <c r="AU111" s="470"/>
      <c r="AV111" s="470"/>
      <c r="AW111" s="470"/>
      <c r="AX111" s="470"/>
      <c r="AY111" s="470"/>
      <c r="AZ111" s="470"/>
      <c r="BA111" s="470"/>
      <c r="BB111" s="470"/>
      <c r="BC111" s="470"/>
      <c r="BD111" s="470"/>
      <c r="BE111" s="470"/>
      <c r="BF111" s="470"/>
      <c r="BG111" s="470"/>
      <c r="BH111" s="470"/>
      <c r="BI111" s="470"/>
      <c r="BJ111" s="470"/>
    </row>
    <row r="112" spans="2:62" ht="15" customHeight="1" x14ac:dyDescent="0.2">
      <c r="B112" s="1047"/>
      <c r="D112" s="1019"/>
      <c r="E112" s="178">
        <v>10</v>
      </c>
      <c r="F112" s="163">
        <f t="shared" ref="F112:AC112" si="25">$H$14*$H$67*F44*$H$13</f>
        <v>0</v>
      </c>
      <c r="G112" s="3">
        <f t="shared" si="25"/>
        <v>0</v>
      </c>
      <c r="H112" s="3">
        <f t="shared" si="25"/>
        <v>0</v>
      </c>
      <c r="I112" s="3">
        <f t="shared" si="25"/>
        <v>0</v>
      </c>
      <c r="J112" s="3">
        <f t="shared" si="25"/>
        <v>0</v>
      </c>
      <c r="K112" s="3">
        <f t="shared" si="25"/>
        <v>0</v>
      </c>
      <c r="L112" s="3">
        <f t="shared" si="25"/>
        <v>3.7909677419354845E-3</v>
      </c>
      <c r="M112" s="3">
        <f t="shared" si="25"/>
        <v>1.2296774193548387E-2</v>
      </c>
      <c r="N112" s="3">
        <f t="shared" si="25"/>
        <v>2.1228387096774198E-2</v>
      </c>
      <c r="O112" s="3">
        <f t="shared" si="25"/>
        <v>2.9432258064516128E-2</v>
      </c>
      <c r="P112" s="3">
        <f t="shared" si="25"/>
        <v>3.5362580645161297E-2</v>
      </c>
      <c r="Q112" s="3">
        <f t="shared" si="25"/>
        <v>3.56E-2</v>
      </c>
      <c r="R112" s="3">
        <f t="shared" si="25"/>
        <v>3.6696774193548387E-2</v>
      </c>
      <c r="S112" s="3">
        <f t="shared" si="25"/>
        <v>3.0079999999999999E-2</v>
      </c>
      <c r="T112" s="3">
        <f t="shared" si="25"/>
        <v>2.1037419354838709E-2</v>
      </c>
      <c r="U112" s="3">
        <f t="shared" si="25"/>
        <v>1.3153548387096774E-2</v>
      </c>
      <c r="V112" s="3">
        <f t="shared" si="25"/>
        <v>3.7987096774193545E-3</v>
      </c>
      <c r="W112" s="3">
        <f t="shared" si="25"/>
        <v>0</v>
      </c>
      <c r="X112" s="3">
        <f t="shared" si="25"/>
        <v>0</v>
      </c>
      <c r="Y112" s="3">
        <f t="shared" si="25"/>
        <v>0</v>
      </c>
      <c r="Z112" s="3">
        <f t="shared" si="25"/>
        <v>0</v>
      </c>
      <c r="AA112" s="3">
        <f t="shared" si="25"/>
        <v>0</v>
      </c>
      <c r="AB112" s="3">
        <f t="shared" si="25"/>
        <v>0</v>
      </c>
      <c r="AC112" s="171">
        <f t="shared" si="25"/>
        <v>0</v>
      </c>
      <c r="AD112" s="255">
        <f t="shared" si="15"/>
        <v>0.24247741935483874</v>
      </c>
      <c r="AE112" s="2">
        <v>31</v>
      </c>
      <c r="AF112" s="63">
        <f t="shared" si="16"/>
        <v>7.5168000000000008</v>
      </c>
      <c r="AH112" s="470"/>
      <c r="AI112" s="470"/>
      <c r="AJ112" s="470"/>
      <c r="AK112" s="470"/>
      <c r="AL112" s="470"/>
      <c r="AM112" s="470"/>
      <c r="AN112" s="470"/>
      <c r="AO112" s="470"/>
      <c r="AP112" s="470"/>
      <c r="AQ112" s="470"/>
      <c r="AR112" s="470"/>
      <c r="AS112" s="470"/>
      <c r="AT112" s="470"/>
      <c r="AU112" s="470"/>
      <c r="AV112" s="470"/>
      <c r="AW112" s="470"/>
      <c r="AX112" s="470"/>
      <c r="AY112" s="470"/>
      <c r="AZ112" s="470"/>
      <c r="BA112" s="470"/>
      <c r="BB112" s="470"/>
      <c r="BC112" s="470"/>
      <c r="BD112" s="470"/>
      <c r="BE112" s="470"/>
      <c r="BF112" s="470"/>
      <c r="BG112" s="470"/>
      <c r="BH112" s="470"/>
      <c r="BI112" s="470"/>
      <c r="BJ112" s="470"/>
    </row>
    <row r="113" spans="2:62" ht="15" customHeight="1" x14ac:dyDescent="0.2">
      <c r="B113" s="1047"/>
      <c r="D113" s="1019"/>
      <c r="E113" s="178">
        <v>11</v>
      </c>
      <c r="F113" s="163">
        <f t="shared" ref="F113:AC113" si="26">$H$14*$H$67*F45*$H$13</f>
        <v>0</v>
      </c>
      <c r="G113" s="3">
        <f t="shared" si="26"/>
        <v>0</v>
      </c>
      <c r="H113" s="3">
        <f t="shared" si="26"/>
        <v>0</v>
      </c>
      <c r="I113" s="3">
        <f t="shared" si="26"/>
        <v>0</v>
      </c>
      <c r="J113" s="3">
        <f t="shared" si="26"/>
        <v>0</v>
      </c>
      <c r="K113" s="3">
        <f t="shared" si="26"/>
        <v>0</v>
      </c>
      <c r="L113" s="3">
        <f t="shared" si="26"/>
        <v>2.2133333333333331E-4</v>
      </c>
      <c r="M113" s="3">
        <f t="shared" si="26"/>
        <v>6.9999999999999993E-3</v>
      </c>
      <c r="N113" s="3">
        <f t="shared" si="26"/>
        <v>1.5418666666666666E-2</v>
      </c>
      <c r="O113" s="3">
        <f t="shared" si="26"/>
        <v>2.2826666666666665E-2</v>
      </c>
      <c r="P113" s="3">
        <f t="shared" si="26"/>
        <v>2.7650666666666667E-2</v>
      </c>
      <c r="Q113" s="3">
        <f t="shared" si="26"/>
        <v>3.0085333333333332E-2</v>
      </c>
      <c r="R113" s="3">
        <f t="shared" si="26"/>
        <v>2.7154666666666671E-2</v>
      </c>
      <c r="S113" s="3">
        <f t="shared" si="26"/>
        <v>2.2418666666666667E-2</v>
      </c>
      <c r="T113" s="3">
        <f t="shared" si="26"/>
        <v>1.5474666666666668E-2</v>
      </c>
      <c r="U113" s="3">
        <f t="shared" si="26"/>
        <v>6.3946666666666674E-3</v>
      </c>
      <c r="V113" s="3">
        <f t="shared" si="26"/>
        <v>4.0000000000000003E-5</v>
      </c>
      <c r="W113" s="3">
        <f t="shared" si="26"/>
        <v>0</v>
      </c>
      <c r="X113" s="3">
        <f t="shared" si="26"/>
        <v>0</v>
      </c>
      <c r="Y113" s="3">
        <f t="shared" si="26"/>
        <v>0</v>
      </c>
      <c r="Z113" s="3">
        <f t="shared" si="26"/>
        <v>0</v>
      </c>
      <c r="AA113" s="3">
        <f t="shared" si="26"/>
        <v>0</v>
      </c>
      <c r="AB113" s="3">
        <f t="shared" si="26"/>
        <v>0</v>
      </c>
      <c r="AC113" s="171">
        <f t="shared" si="26"/>
        <v>0</v>
      </c>
      <c r="AD113" s="255">
        <f t="shared" si="15"/>
        <v>0.17468533333333333</v>
      </c>
      <c r="AE113" s="2">
        <v>30</v>
      </c>
      <c r="AF113" s="63">
        <f t="shared" si="16"/>
        <v>5.2405600000000003</v>
      </c>
      <c r="AH113" s="470"/>
      <c r="AI113" s="470"/>
      <c r="AJ113" s="470"/>
      <c r="AK113" s="470"/>
      <c r="AL113" s="470"/>
      <c r="AM113" s="470"/>
      <c r="AN113" s="470"/>
      <c r="AO113" s="470"/>
      <c r="AP113" s="470"/>
      <c r="AQ113" s="470"/>
      <c r="AR113" s="470"/>
      <c r="AS113" s="470"/>
      <c r="AT113" s="470"/>
      <c r="AU113" s="470"/>
      <c r="AV113" s="470"/>
      <c r="AW113" s="470"/>
      <c r="AX113" s="470"/>
      <c r="AY113" s="470"/>
      <c r="AZ113" s="470"/>
      <c r="BA113" s="470"/>
      <c r="BB113" s="470"/>
      <c r="BC113" s="470"/>
      <c r="BD113" s="470"/>
      <c r="BE113" s="470"/>
      <c r="BF113" s="470"/>
      <c r="BG113" s="470"/>
      <c r="BH113" s="470"/>
      <c r="BI113" s="470"/>
      <c r="BJ113" s="470"/>
    </row>
    <row r="114" spans="2:62" ht="16" customHeight="1" thickBot="1" x14ac:dyDescent="0.25">
      <c r="B114" s="1047"/>
      <c r="D114" s="1020"/>
      <c r="E114" s="179">
        <v>12</v>
      </c>
      <c r="F114" s="173">
        <f t="shared" ref="F114:AC114" si="27">$H$14*$H$67*F46*$H$13</f>
        <v>0</v>
      </c>
      <c r="G114" s="44">
        <f t="shared" si="27"/>
        <v>0</v>
      </c>
      <c r="H114" s="44">
        <f t="shared" si="27"/>
        <v>0</v>
      </c>
      <c r="I114" s="44">
        <f t="shared" si="27"/>
        <v>0</v>
      </c>
      <c r="J114" s="44">
        <f t="shared" si="27"/>
        <v>0</v>
      </c>
      <c r="K114" s="44">
        <f t="shared" si="27"/>
        <v>0</v>
      </c>
      <c r="L114" s="44">
        <f t="shared" si="27"/>
        <v>0</v>
      </c>
      <c r="M114" s="44">
        <f t="shared" si="27"/>
        <v>2.1729032258064516E-3</v>
      </c>
      <c r="N114" s="44">
        <f t="shared" si="27"/>
        <v>9.7109677419354844E-3</v>
      </c>
      <c r="O114" s="44">
        <f t="shared" si="27"/>
        <v>1.5174193548387099E-2</v>
      </c>
      <c r="P114" s="44">
        <f t="shared" si="27"/>
        <v>2.0268387096774192E-2</v>
      </c>
      <c r="Q114" s="44">
        <f t="shared" si="27"/>
        <v>2.2376774193548384E-2</v>
      </c>
      <c r="R114" s="44">
        <f t="shared" si="27"/>
        <v>2.1816774193548386E-2</v>
      </c>
      <c r="S114" s="44">
        <f t="shared" si="27"/>
        <v>1.7636129032258065E-2</v>
      </c>
      <c r="T114" s="44">
        <f t="shared" si="27"/>
        <v>1.0454193548387098E-2</v>
      </c>
      <c r="U114" s="44">
        <f t="shared" si="27"/>
        <v>3.7393548387096775E-3</v>
      </c>
      <c r="V114" s="44">
        <f t="shared" si="27"/>
        <v>0</v>
      </c>
      <c r="W114" s="44">
        <f t="shared" si="27"/>
        <v>0</v>
      </c>
      <c r="X114" s="44">
        <f t="shared" si="27"/>
        <v>0</v>
      </c>
      <c r="Y114" s="44">
        <f t="shared" si="27"/>
        <v>0</v>
      </c>
      <c r="Z114" s="44">
        <f t="shared" si="27"/>
        <v>0</v>
      </c>
      <c r="AA114" s="44">
        <f t="shared" si="27"/>
        <v>0</v>
      </c>
      <c r="AB114" s="44">
        <f t="shared" si="27"/>
        <v>0</v>
      </c>
      <c r="AC114" s="256">
        <f t="shared" si="27"/>
        <v>0</v>
      </c>
      <c r="AD114" s="162">
        <f t="shared" si="15"/>
        <v>0.12334967741935482</v>
      </c>
      <c r="AE114" s="10">
        <v>31</v>
      </c>
      <c r="AF114" s="170">
        <f t="shared" si="16"/>
        <v>3.8238399999999992</v>
      </c>
      <c r="AH114" s="470"/>
      <c r="AI114" s="470"/>
      <c r="AJ114" s="470"/>
      <c r="AK114" s="470"/>
      <c r="AL114" s="470"/>
      <c r="AM114" s="470"/>
      <c r="AN114" s="470"/>
      <c r="AO114" s="470"/>
      <c r="AP114" s="470"/>
      <c r="AQ114" s="470"/>
      <c r="AR114" s="470"/>
      <c r="AS114" s="470"/>
      <c r="AT114" s="470"/>
      <c r="AU114" s="470"/>
      <c r="AV114" s="470"/>
      <c r="AW114" s="470"/>
      <c r="AX114" s="470"/>
      <c r="AY114" s="470"/>
      <c r="AZ114" s="470"/>
      <c r="BA114" s="470"/>
      <c r="BB114" s="470"/>
      <c r="BC114" s="470"/>
      <c r="BD114" s="470"/>
      <c r="BE114" s="470"/>
      <c r="BF114" s="470"/>
      <c r="BG114" s="470"/>
      <c r="BH114" s="470"/>
      <c r="BI114" s="470"/>
      <c r="BJ114" s="470"/>
    </row>
    <row r="115" spans="2:62" ht="15" customHeight="1" thickBot="1" x14ac:dyDescent="0.25">
      <c r="B115" s="1047"/>
      <c r="D115" s="468"/>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1021" t="s">
        <v>594</v>
      </c>
      <c r="AE115" s="962"/>
      <c r="AF115" s="469">
        <f>SUM(AF103:AF114)</f>
        <v>121.2932</v>
      </c>
      <c r="AH115" s="470"/>
      <c r="AI115" s="470"/>
      <c r="AJ115" s="470"/>
      <c r="AK115" s="470"/>
      <c r="AL115" s="470"/>
      <c r="AM115" s="470"/>
      <c r="AN115" s="470"/>
      <c r="AO115" s="470"/>
      <c r="AP115" s="470"/>
      <c r="AQ115" s="470"/>
      <c r="AR115" s="470"/>
      <c r="AS115" s="470"/>
      <c r="AT115" s="470"/>
      <c r="AU115" s="470"/>
      <c r="AV115" s="470"/>
      <c r="AW115" s="470"/>
      <c r="AX115" s="470"/>
      <c r="AY115" s="470"/>
      <c r="AZ115" s="470"/>
      <c r="BA115" s="470"/>
      <c r="BB115" s="470"/>
      <c r="BC115" s="470"/>
      <c r="BD115" s="470"/>
      <c r="BE115" s="470"/>
      <c r="BF115" s="470"/>
      <c r="BG115" s="470"/>
      <c r="BH115" s="470"/>
      <c r="BI115" s="470"/>
      <c r="BJ115" s="470"/>
    </row>
    <row r="116" spans="2:62" ht="15" customHeight="1" thickBot="1" x14ac:dyDescent="0.25">
      <c r="B116" s="1047"/>
      <c r="AH116" s="470"/>
      <c r="AI116" s="470"/>
      <c r="AJ116" s="470"/>
      <c r="AK116" s="470"/>
      <c r="AL116" s="470"/>
      <c r="AM116" s="470"/>
      <c r="AN116" s="470"/>
      <c r="AO116" s="470"/>
      <c r="AP116" s="470"/>
      <c r="AQ116" s="470"/>
      <c r="AR116" s="470"/>
      <c r="AS116" s="470"/>
      <c r="AT116" s="470"/>
      <c r="AU116" s="470"/>
      <c r="AV116" s="470"/>
      <c r="AW116" s="470"/>
      <c r="AX116" s="470"/>
      <c r="AY116" s="470"/>
      <c r="AZ116" s="470"/>
      <c r="BA116" s="470"/>
      <c r="BB116" s="470"/>
      <c r="BC116" s="470"/>
      <c r="BD116" s="470"/>
      <c r="BE116" s="470"/>
      <c r="BF116" s="470"/>
      <c r="BG116" s="470"/>
      <c r="BH116" s="470"/>
      <c r="BI116" s="470"/>
      <c r="BJ116" s="470"/>
    </row>
    <row r="117" spans="2:62" ht="15" customHeight="1" x14ac:dyDescent="0.2">
      <c r="B117" s="1047"/>
      <c r="D117" s="1026" t="s">
        <v>935</v>
      </c>
      <c r="E117" s="1027"/>
      <c r="F117" s="1027"/>
      <c r="G117" s="1027"/>
      <c r="H117" s="1027"/>
      <c r="I117" s="1027"/>
      <c r="J117" s="1027"/>
      <c r="K117" s="1027"/>
      <c r="L117" s="1027"/>
      <c r="M117" s="1027"/>
      <c r="N117" s="1027"/>
      <c r="O117" s="1027"/>
      <c r="P117" s="1027"/>
      <c r="Q117" s="1027"/>
      <c r="R117" s="1027"/>
      <c r="S117" s="1027"/>
      <c r="T117" s="1027"/>
      <c r="U117" s="1027"/>
      <c r="V117" s="1027"/>
      <c r="W117" s="1027"/>
      <c r="X117" s="1027"/>
      <c r="Y117" s="1027"/>
      <c r="Z117" s="1027"/>
      <c r="AA117" s="1027"/>
      <c r="AB117" s="1027"/>
      <c r="AC117" s="1027"/>
      <c r="AD117" s="1027"/>
      <c r="AE117" s="1027"/>
      <c r="AF117" s="1028"/>
      <c r="AH117" s="470"/>
      <c r="AI117" s="470"/>
      <c r="AJ117" s="470"/>
      <c r="AK117" s="470"/>
      <c r="AL117" s="470"/>
      <c r="AM117" s="470"/>
      <c r="AN117" s="470"/>
      <c r="AO117" s="470"/>
      <c r="AP117" s="470"/>
      <c r="AQ117" s="470"/>
      <c r="AR117" s="470"/>
      <c r="AS117" s="470"/>
      <c r="AT117" s="470"/>
      <c r="AU117" s="470"/>
      <c r="AV117" s="470"/>
      <c r="AW117" s="470"/>
      <c r="AX117" s="470"/>
      <c r="AY117" s="470"/>
      <c r="AZ117" s="470"/>
      <c r="BA117" s="470"/>
      <c r="BB117" s="470"/>
      <c r="BC117" s="470"/>
      <c r="BD117" s="470"/>
      <c r="BE117" s="470"/>
      <c r="BF117" s="470"/>
      <c r="BG117" s="470"/>
      <c r="BH117" s="470"/>
      <c r="BI117" s="470"/>
      <c r="BJ117" s="470"/>
    </row>
    <row r="118" spans="2:62" ht="15" customHeight="1" thickBot="1" x14ac:dyDescent="0.25">
      <c r="B118" s="1047"/>
      <c r="D118" s="1029"/>
      <c r="E118" s="1030"/>
      <c r="F118" s="1030"/>
      <c r="G118" s="1030"/>
      <c r="H118" s="1030"/>
      <c r="I118" s="1030"/>
      <c r="J118" s="1030"/>
      <c r="K118" s="1030"/>
      <c r="L118" s="1030"/>
      <c r="M118" s="1030"/>
      <c r="N118" s="1030"/>
      <c r="O118" s="1030"/>
      <c r="P118" s="1030"/>
      <c r="Q118" s="1030"/>
      <c r="R118" s="1030"/>
      <c r="S118" s="1030"/>
      <c r="T118" s="1030"/>
      <c r="U118" s="1030"/>
      <c r="V118" s="1030"/>
      <c r="W118" s="1030"/>
      <c r="X118" s="1030"/>
      <c r="Y118" s="1030"/>
      <c r="Z118" s="1030"/>
      <c r="AA118" s="1030"/>
      <c r="AB118" s="1030"/>
      <c r="AC118" s="1030"/>
      <c r="AD118" s="1030"/>
      <c r="AE118" s="1030"/>
      <c r="AF118" s="1031"/>
      <c r="AH118" s="470"/>
      <c r="AI118" s="470"/>
      <c r="AJ118" s="470"/>
      <c r="AK118" s="470"/>
      <c r="AL118" s="470"/>
      <c r="AM118" s="470"/>
      <c r="AN118" s="470"/>
      <c r="AO118" s="470"/>
      <c r="AP118" s="470"/>
      <c r="AQ118" s="470"/>
      <c r="AR118" s="470"/>
      <c r="AS118" s="470"/>
      <c r="AT118" s="470"/>
      <c r="AU118" s="470"/>
      <c r="AV118" s="470"/>
      <c r="AW118" s="470"/>
      <c r="AX118" s="470"/>
      <c r="AY118" s="470"/>
      <c r="AZ118" s="470"/>
      <c r="BA118" s="470"/>
      <c r="BB118" s="470"/>
      <c r="BC118" s="470"/>
      <c r="BD118" s="470"/>
      <c r="BE118" s="470"/>
      <c r="BF118" s="470"/>
      <c r="BG118" s="470"/>
      <c r="BH118" s="470"/>
      <c r="BI118" s="470"/>
      <c r="BJ118" s="470"/>
    </row>
    <row r="119" spans="2:62" ht="15" customHeight="1" thickBot="1" x14ac:dyDescent="0.25">
      <c r="B119" s="1047"/>
      <c r="D119" s="1032" t="s">
        <v>937</v>
      </c>
      <c r="E119" s="1033"/>
      <c r="F119" s="1033"/>
      <c r="G119" s="1033"/>
      <c r="H119" s="1033"/>
      <c r="I119" s="1033"/>
      <c r="J119" s="1033"/>
      <c r="K119" s="1033"/>
      <c r="L119" s="1033"/>
      <c r="M119" s="1033"/>
      <c r="N119" s="1033"/>
      <c r="O119" s="1033"/>
      <c r="P119" s="1033"/>
      <c r="Q119" s="1033"/>
      <c r="R119" s="1033"/>
      <c r="S119" s="1033"/>
      <c r="T119" s="1033"/>
      <c r="U119" s="1033"/>
      <c r="V119" s="1033"/>
      <c r="W119" s="1033"/>
      <c r="X119" s="1033"/>
      <c r="Y119" s="1033"/>
      <c r="Z119" s="1033"/>
      <c r="AA119" s="1033"/>
      <c r="AB119" s="1033"/>
      <c r="AC119" s="1033"/>
      <c r="AD119" s="1033"/>
      <c r="AE119" s="1033"/>
      <c r="AF119" s="1034"/>
      <c r="AH119" s="470"/>
      <c r="AI119" s="470"/>
      <c r="AJ119" s="470"/>
      <c r="AK119" s="470"/>
      <c r="AL119" s="470"/>
      <c r="AM119" s="470"/>
      <c r="AN119" s="470"/>
      <c r="AO119" s="470"/>
      <c r="AP119" s="470"/>
      <c r="AQ119" s="470"/>
      <c r="AR119" s="470"/>
      <c r="AS119" s="470"/>
      <c r="AT119" s="470"/>
      <c r="AU119" s="470"/>
      <c r="AV119" s="470"/>
      <c r="AW119" s="470"/>
      <c r="AX119" s="470"/>
      <c r="AY119" s="470"/>
      <c r="AZ119" s="470"/>
      <c r="BA119" s="470"/>
      <c r="BB119" s="470"/>
      <c r="BC119" s="470"/>
      <c r="BD119" s="470"/>
      <c r="BE119" s="470"/>
      <c r="BF119" s="470"/>
      <c r="BG119" s="470"/>
      <c r="BH119" s="470"/>
      <c r="BI119" s="470"/>
      <c r="BJ119" s="470"/>
    </row>
    <row r="120" spans="2:62" ht="15" customHeight="1" x14ac:dyDescent="0.2">
      <c r="B120" s="1047"/>
      <c r="D120" s="1035" t="s">
        <v>588</v>
      </c>
      <c r="E120" s="1036"/>
      <c r="F120" s="1036"/>
      <c r="G120" s="1036"/>
      <c r="H120" s="1036"/>
      <c r="I120" s="1036"/>
      <c r="J120" s="1036"/>
      <c r="K120" s="1036"/>
      <c r="L120" s="1036"/>
      <c r="M120" s="1036"/>
      <c r="N120" s="1036"/>
      <c r="O120" s="1036"/>
      <c r="P120" s="1036"/>
      <c r="Q120" s="1036"/>
      <c r="R120" s="1036"/>
      <c r="S120" s="1036"/>
      <c r="T120" s="1036"/>
      <c r="U120" s="1036"/>
      <c r="V120" s="1036"/>
      <c r="W120" s="1036"/>
      <c r="X120" s="1036"/>
      <c r="Y120" s="1036"/>
      <c r="Z120" s="1036"/>
      <c r="AA120" s="1036"/>
      <c r="AB120" s="1036"/>
      <c r="AC120" s="1037"/>
      <c r="AD120" s="1015" t="s">
        <v>600</v>
      </c>
      <c r="AE120" s="1015" t="s">
        <v>593</v>
      </c>
      <c r="AF120" s="1017" t="s">
        <v>601</v>
      </c>
      <c r="AH120" s="470"/>
      <c r="AI120" s="470"/>
      <c r="AJ120" s="470"/>
      <c r="AK120" s="470"/>
      <c r="AL120" s="470"/>
      <c r="AM120" s="470"/>
      <c r="AN120" s="470"/>
      <c r="AO120" s="470"/>
      <c r="AP120" s="470"/>
      <c r="AQ120" s="470"/>
      <c r="AR120" s="470"/>
      <c r="AS120" s="470"/>
      <c r="AT120" s="470"/>
      <c r="AU120" s="470"/>
      <c r="AV120" s="470"/>
      <c r="AW120" s="470"/>
      <c r="AX120" s="470"/>
      <c r="AY120" s="470"/>
      <c r="AZ120" s="470"/>
      <c r="BA120" s="470"/>
      <c r="BB120" s="470"/>
      <c r="BC120" s="470"/>
      <c r="BD120" s="470"/>
      <c r="BE120" s="470"/>
      <c r="BF120" s="470"/>
      <c r="BG120" s="470"/>
      <c r="BH120" s="470"/>
      <c r="BI120" s="470"/>
      <c r="BJ120" s="470"/>
    </row>
    <row r="121" spans="2:62" ht="15" customHeight="1" x14ac:dyDescent="0.2">
      <c r="B121" s="1047"/>
      <c r="D121" s="1019" t="s">
        <v>587</v>
      </c>
      <c r="E121" s="175"/>
      <c r="F121" s="176">
        <v>0</v>
      </c>
      <c r="G121" s="176">
        <v>1</v>
      </c>
      <c r="H121" s="176">
        <v>2</v>
      </c>
      <c r="I121" s="176">
        <v>3</v>
      </c>
      <c r="J121" s="176">
        <v>4</v>
      </c>
      <c r="K121" s="176">
        <v>5</v>
      </c>
      <c r="L121" s="176">
        <v>6</v>
      </c>
      <c r="M121" s="176">
        <v>7</v>
      </c>
      <c r="N121" s="176">
        <v>8</v>
      </c>
      <c r="O121" s="176">
        <v>9</v>
      </c>
      <c r="P121" s="176">
        <v>10</v>
      </c>
      <c r="Q121" s="176">
        <v>11</v>
      </c>
      <c r="R121" s="176">
        <v>12</v>
      </c>
      <c r="S121" s="176">
        <v>13</v>
      </c>
      <c r="T121" s="176">
        <v>14</v>
      </c>
      <c r="U121" s="176">
        <v>15</v>
      </c>
      <c r="V121" s="176">
        <v>16</v>
      </c>
      <c r="W121" s="176">
        <v>17</v>
      </c>
      <c r="X121" s="176">
        <v>18</v>
      </c>
      <c r="Y121" s="176">
        <v>19</v>
      </c>
      <c r="Z121" s="176">
        <v>20</v>
      </c>
      <c r="AA121" s="176">
        <v>21</v>
      </c>
      <c r="AB121" s="176">
        <v>22</v>
      </c>
      <c r="AC121" s="177">
        <v>23</v>
      </c>
      <c r="AD121" s="1016"/>
      <c r="AE121" s="1016"/>
      <c r="AF121" s="1018"/>
      <c r="AH121" s="470"/>
      <c r="AI121" s="470"/>
      <c r="AJ121" s="470"/>
      <c r="AK121" s="470"/>
      <c r="AL121" s="470"/>
      <c r="AM121" s="470"/>
      <c r="AN121" s="470"/>
      <c r="AO121" s="470"/>
      <c r="AP121" s="470"/>
      <c r="AQ121" s="470"/>
      <c r="AR121" s="470"/>
      <c r="AS121" s="470"/>
      <c r="AT121" s="470"/>
      <c r="AU121" s="470"/>
      <c r="AV121" s="470"/>
      <c r="AW121" s="470"/>
      <c r="AX121" s="470"/>
      <c r="AY121" s="470"/>
      <c r="AZ121" s="470"/>
      <c r="BA121" s="470"/>
      <c r="BB121" s="470"/>
      <c r="BC121" s="470"/>
      <c r="BD121" s="470"/>
      <c r="BE121" s="470"/>
      <c r="BF121" s="470"/>
      <c r="BG121" s="470"/>
      <c r="BH121" s="470"/>
      <c r="BI121" s="470"/>
      <c r="BJ121" s="470"/>
    </row>
    <row r="122" spans="2:62" ht="15" customHeight="1" x14ac:dyDescent="0.2">
      <c r="B122" s="1047"/>
      <c r="D122" s="1019"/>
      <c r="E122" s="178">
        <v>1</v>
      </c>
      <c r="F122" s="172">
        <f t="shared" ref="F122:AC122" si="28">$H$14*$H$67*F51*$H$13</f>
        <v>0</v>
      </c>
      <c r="G122" s="53">
        <f t="shared" si="28"/>
        <v>0</v>
      </c>
      <c r="H122" s="53">
        <f t="shared" si="28"/>
        <v>0</v>
      </c>
      <c r="I122" s="53">
        <f t="shared" si="28"/>
        <v>0</v>
      </c>
      <c r="J122" s="53">
        <f t="shared" si="28"/>
        <v>0</v>
      </c>
      <c r="K122" s="53">
        <f t="shared" si="28"/>
        <v>0</v>
      </c>
      <c r="L122" s="53">
        <f t="shared" si="28"/>
        <v>0</v>
      </c>
      <c r="M122" s="53">
        <f t="shared" si="28"/>
        <v>0</v>
      </c>
      <c r="N122" s="53">
        <f t="shared" si="28"/>
        <v>0</v>
      </c>
      <c r="O122" s="53">
        <f t="shared" si="28"/>
        <v>0</v>
      </c>
      <c r="P122" s="53">
        <f t="shared" si="28"/>
        <v>1.8580645161290325E-3</v>
      </c>
      <c r="Q122" s="53">
        <f t="shared" si="28"/>
        <v>3.5509677419354839E-3</v>
      </c>
      <c r="R122" s="53">
        <f t="shared" si="28"/>
        <v>4.3483870967741933E-3</v>
      </c>
      <c r="S122" s="53">
        <f t="shared" si="28"/>
        <v>5.0812903225806449E-3</v>
      </c>
      <c r="T122" s="53">
        <f t="shared" si="28"/>
        <v>4.492903225806452E-3</v>
      </c>
      <c r="U122" s="53">
        <f t="shared" si="28"/>
        <v>3.576774193548387E-3</v>
      </c>
      <c r="V122" s="53">
        <f t="shared" si="28"/>
        <v>7.9483870967741945E-4</v>
      </c>
      <c r="W122" s="53">
        <f t="shared" si="28"/>
        <v>0</v>
      </c>
      <c r="X122" s="53">
        <f t="shared" si="28"/>
        <v>0</v>
      </c>
      <c r="Y122" s="53">
        <f t="shared" si="28"/>
        <v>0</v>
      </c>
      <c r="Z122" s="53">
        <f t="shared" si="28"/>
        <v>0</v>
      </c>
      <c r="AA122" s="53">
        <f t="shared" si="28"/>
        <v>0</v>
      </c>
      <c r="AB122" s="53">
        <f t="shared" si="28"/>
        <v>0</v>
      </c>
      <c r="AC122" s="174">
        <f t="shared" si="28"/>
        <v>0</v>
      </c>
      <c r="AD122" s="255">
        <f t="shared" ref="AD122:AD133" si="29">SUM(F122:AC122)</f>
        <v>2.3703225806451615E-2</v>
      </c>
      <c r="AE122" s="2">
        <v>31</v>
      </c>
      <c r="AF122" s="63">
        <f t="shared" ref="AF122:AF133" si="30">AD122*AE122</f>
        <v>0.73480000000000012</v>
      </c>
      <c r="AH122" s="470"/>
      <c r="AI122" s="470"/>
      <c r="AJ122" s="470"/>
      <c r="AK122" s="470"/>
      <c r="AL122" s="470"/>
      <c r="AM122" s="470"/>
      <c r="AN122" s="470"/>
      <c r="AO122" s="470"/>
      <c r="AP122" s="470"/>
      <c r="AQ122" s="470"/>
      <c r="AR122" s="470"/>
      <c r="AS122" s="470"/>
      <c r="AT122" s="470"/>
      <c r="AU122" s="470"/>
      <c r="AV122" s="470"/>
      <c r="AW122" s="470"/>
      <c r="AX122" s="470"/>
      <c r="AY122" s="470"/>
      <c r="AZ122" s="470"/>
      <c r="BA122" s="470"/>
      <c r="BB122" s="470"/>
      <c r="BC122" s="470"/>
      <c r="BD122" s="470"/>
      <c r="BE122" s="470"/>
      <c r="BF122" s="470"/>
      <c r="BG122" s="470"/>
      <c r="BH122" s="470"/>
      <c r="BI122" s="470"/>
      <c r="BJ122" s="470"/>
    </row>
    <row r="123" spans="2:62" ht="15" customHeight="1" x14ac:dyDescent="0.2">
      <c r="B123" s="1047"/>
      <c r="D123" s="1019"/>
      <c r="E123" s="178">
        <v>2</v>
      </c>
      <c r="F123" s="163">
        <f t="shared" ref="F123:AC123" si="31">$H$14*$H$67*F52*$H$13</f>
        <v>0</v>
      </c>
      <c r="G123" s="3">
        <f t="shared" si="31"/>
        <v>0</v>
      </c>
      <c r="H123" s="3">
        <f t="shared" si="31"/>
        <v>0</v>
      </c>
      <c r="I123" s="3">
        <f t="shared" si="31"/>
        <v>0</v>
      </c>
      <c r="J123" s="3">
        <f t="shared" si="31"/>
        <v>0</v>
      </c>
      <c r="K123" s="3">
        <f t="shared" si="31"/>
        <v>0</v>
      </c>
      <c r="L123" s="3">
        <f t="shared" si="31"/>
        <v>0</v>
      </c>
      <c r="M123" s="3">
        <f t="shared" si="31"/>
        <v>0</v>
      </c>
      <c r="N123" s="3">
        <f t="shared" si="31"/>
        <v>8.8571428571428566E-5</v>
      </c>
      <c r="O123" s="3">
        <f t="shared" si="31"/>
        <v>1.6285714285714287E-3</v>
      </c>
      <c r="P123" s="3">
        <f t="shared" si="31"/>
        <v>4.671428571428572E-3</v>
      </c>
      <c r="Q123" s="3">
        <f t="shared" si="31"/>
        <v>6.8999999999999999E-3</v>
      </c>
      <c r="R123" s="3">
        <f t="shared" si="31"/>
        <v>8.265714285714286E-3</v>
      </c>
      <c r="S123" s="3">
        <f t="shared" si="31"/>
        <v>1.0974285714285714E-2</v>
      </c>
      <c r="T123" s="3">
        <f t="shared" si="31"/>
        <v>1.0334285714285714E-2</v>
      </c>
      <c r="U123" s="3">
        <f t="shared" si="31"/>
        <v>7.7971428571428575E-3</v>
      </c>
      <c r="V123" s="3">
        <f t="shared" si="31"/>
        <v>5.94E-3</v>
      </c>
      <c r="W123" s="3">
        <f t="shared" si="31"/>
        <v>1.6914285714285716E-3</v>
      </c>
      <c r="X123" s="3">
        <f t="shared" si="31"/>
        <v>0</v>
      </c>
      <c r="Y123" s="3">
        <f t="shared" si="31"/>
        <v>0</v>
      </c>
      <c r="Z123" s="3">
        <f t="shared" si="31"/>
        <v>0</v>
      </c>
      <c r="AA123" s="3">
        <f t="shared" si="31"/>
        <v>0</v>
      </c>
      <c r="AB123" s="3">
        <f t="shared" si="31"/>
        <v>0</v>
      </c>
      <c r="AC123" s="171">
        <f t="shared" si="31"/>
        <v>0</v>
      </c>
      <c r="AD123" s="255">
        <f t="shared" si="29"/>
        <v>5.829142857142857E-2</v>
      </c>
      <c r="AE123" s="2">
        <v>28</v>
      </c>
      <c r="AF123" s="63">
        <f t="shared" si="30"/>
        <v>1.6321600000000001</v>
      </c>
      <c r="AH123" s="470"/>
      <c r="AI123" s="470"/>
      <c r="AJ123" s="470"/>
      <c r="AK123" s="470"/>
      <c r="AL123" s="470"/>
      <c r="AM123" s="470"/>
      <c r="AN123" s="470"/>
      <c r="AO123" s="470"/>
      <c r="AP123" s="470"/>
      <c r="AQ123" s="470"/>
      <c r="AR123" s="470"/>
      <c r="AS123" s="470"/>
      <c r="AT123" s="470"/>
      <c r="AU123" s="470"/>
      <c r="AV123" s="470"/>
      <c r="AW123" s="470"/>
      <c r="AX123" s="470"/>
      <c r="AY123" s="470"/>
      <c r="AZ123" s="470"/>
      <c r="BA123" s="470"/>
      <c r="BB123" s="470"/>
      <c r="BC123" s="470"/>
      <c r="BD123" s="470"/>
      <c r="BE123" s="470"/>
      <c r="BF123" s="470"/>
      <c r="BG123" s="470"/>
      <c r="BH123" s="470"/>
      <c r="BI123" s="470"/>
      <c r="BJ123" s="470"/>
    </row>
    <row r="124" spans="2:62" ht="15" customHeight="1" x14ac:dyDescent="0.2">
      <c r="B124" s="1047"/>
      <c r="D124" s="1019"/>
      <c r="E124" s="178">
        <v>3</v>
      </c>
      <c r="F124" s="163">
        <f t="shared" ref="F124:AC124" si="32">$H$14*$H$67*F53*$H$13</f>
        <v>0</v>
      </c>
      <c r="G124" s="3">
        <f t="shared" si="32"/>
        <v>0</v>
      </c>
      <c r="H124" s="3">
        <f t="shared" si="32"/>
        <v>0</v>
      </c>
      <c r="I124" s="3">
        <f t="shared" si="32"/>
        <v>0</v>
      </c>
      <c r="J124" s="3">
        <f t="shared" si="32"/>
        <v>0</v>
      </c>
      <c r="K124" s="3">
        <f t="shared" si="32"/>
        <v>0</v>
      </c>
      <c r="L124" s="3">
        <f t="shared" si="32"/>
        <v>0</v>
      </c>
      <c r="M124" s="3">
        <f t="shared" si="32"/>
        <v>8.6967741935483874E-4</v>
      </c>
      <c r="N124" s="3">
        <f t="shared" si="32"/>
        <v>4.1677419354838709E-3</v>
      </c>
      <c r="O124" s="3">
        <f t="shared" si="32"/>
        <v>9.3109677419354851E-3</v>
      </c>
      <c r="P124" s="3">
        <f t="shared" si="32"/>
        <v>1.4263225806451611E-2</v>
      </c>
      <c r="Q124" s="3">
        <f t="shared" si="32"/>
        <v>1.7285161290322582E-2</v>
      </c>
      <c r="R124" s="3">
        <f t="shared" si="32"/>
        <v>1.9912258064516127E-2</v>
      </c>
      <c r="S124" s="3">
        <f t="shared" si="32"/>
        <v>2.3721290322580645E-2</v>
      </c>
      <c r="T124" s="3">
        <f t="shared" si="32"/>
        <v>2.2074838709677417E-2</v>
      </c>
      <c r="U124" s="3">
        <f t="shared" si="32"/>
        <v>1.8443870967741936E-2</v>
      </c>
      <c r="V124" s="3">
        <f t="shared" si="32"/>
        <v>1.4887741935483872E-2</v>
      </c>
      <c r="W124" s="3">
        <f t="shared" si="32"/>
        <v>8.4722580645161302E-3</v>
      </c>
      <c r="X124" s="3">
        <f t="shared" si="32"/>
        <v>2.9729032258064519E-3</v>
      </c>
      <c r="Y124" s="3">
        <f t="shared" si="32"/>
        <v>1.2129032258064516E-4</v>
      </c>
      <c r="Z124" s="3">
        <f t="shared" si="32"/>
        <v>0</v>
      </c>
      <c r="AA124" s="3">
        <f t="shared" si="32"/>
        <v>0</v>
      </c>
      <c r="AB124" s="3">
        <f t="shared" si="32"/>
        <v>0</v>
      </c>
      <c r="AC124" s="171">
        <f t="shared" si="32"/>
        <v>0</v>
      </c>
      <c r="AD124" s="255">
        <f t="shared" si="29"/>
        <v>0.15650322580645162</v>
      </c>
      <c r="AE124" s="2">
        <v>31</v>
      </c>
      <c r="AF124" s="63">
        <f t="shared" si="30"/>
        <v>4.8516000000000004</v>
      </c>
      <c r="AH124" s="470"/>
      <c r="AI124" s="470"/>
      <c r="AJ124" s="470"/>
      <c r="AK124" s="470"/>
      <c r="AL124" s="470"/>
      <c r="AM124" s="470"/>
      <c r="AN124" s="470"/>
      <c r="AO124" s="470"/>
      <c r="AP124" s="470"/>
      <c r="AQ124" s="470"/>
      <c r="AR124" s="470"/>
      <c r="AS124" s="470"/>
      <c r="AT124" s="470"/>
      <c r="AU124" s="470"/>
      <c r="AV124" s="470"/>
      <c r="AW124" s="470"/>
      <c r="AX124" s="470"/>
      <c r="AY124" s="470"/>
      <c r="AZ124" s="470"/>
      <c r="BA124" s="470"/>
      <c r="BB124" s="470"/>
      <c r="BC124" s="470"/>
      <c r="BD124" s="470"/>
      <c r="BE124" s="470"/>
      <c r="BF124" s="470"/>
      <c r="BG124" s="470"/>
      <c r="BH124" s="470"/>
      <c r="BI124" s="470"/>
      <c r="BJ124" s="470"/>
    </row>
    <row r="125" spans="2:62" ht="15" customHeight="1" x14ac:dyDescent="0.2">
      <c r="B125" s="1047"/>
      <c r="D125" s="1019"/>
      <c r="E125" s="178">
        <v>4</v>
      </c>
      <c r="F125" s="163">
        <f t="shared" ref="F125:AC125" si="33">$H$14*$H$67*F54*$H$13</f>
        <v>0</v>
      </c>
      <c r="G125" s="3">
        <f t="shared" si="33"/>
        <v>0</v>
      </c>
      <c r="H125" s="3">
        <f t="shared" si="33"/>
        <v>0</v>
      </c>
      <c r="I125" s="3">
        <f t="shared" si="33"/>
        <v>0</v>
      </c>
      <c r="J125" s="3">
        <f t="shared" si="33"/>
        <v>0</v>
      </c>
      <c r="K125" s="3">
        <f t="shared" si="33"/>
        <v>1.8666666666666665E-5</v>
      </c>
      <c r="L125" s="3">
        <f t="shared" si="33"/>
        <v>2.1173333333333335E-3</v>
      </c>
      <c r="M125" s="3">
        <f t="shared" si="33"/>
        <v>7.5093333333333323E-3</v>
      </c>
      <c r="N125" s="3">
        <f t="shared" si="33"/>
        <v>1.3221333333333335E-2</v>
      </c>
      <c r="O125" s="3">
        <f t="shared" si="33"/>
        <v>2.0448000000000001E-2</v>
      </c>
      <c r="P125" s="3">
        <f t="shared" si="33"/>
        <v>2.7602666666666668E-2</v>
      </c>
      <c r="Q125" s="3">
        <f t="shared" si="33"/>
        <v>3.2162666666666666E-2</v>
      </c>
      <c r="R125" s="3">
        <f t="shared" si="33"/>
        <v>3.1175999999999999E-2</v>
      </c>
      <c r="S125" s="3">
        <f t="shared" si="33"/>
        <v>3.1736E-2</v>
      </c>
      <c r="T125" s="3">
        <f t="shared" si="33"/>
        <v>3.1381333333333331E-2</v>
      </c>
      <c r="U125" s="3">
        <f t="shared" si="33"/>
        <v>2.7213333333333336E-2</v>
      </c>
      <c r="V125" s="3">
        <f t="shared" si="33"/>
        <v>2.3416000000000003E-2</v>
      </c>
      <c r="W125" s="3">
        <f t="shared" si="33"/>
        <v>1.8482666666666668E-2</v>
      </c>
      <c r="X125" s="3">
        <f t="shared" si="33"/>
        <v>9.5066666666666667E-3</v>
      </c>
      <c r="Y125" s="3">
        <f t="shared" si="33"/>
        <v>3.2746666666666662E-3</v>
      </c>
      <c r="Z125" s="3">
        <f t="shared" si="33"/>
        <v>2.6933333333333334E-4</v>
      </c>
      <c r="AA125" s="3">
        <f t="shared" si="33"/>
        <v>0</v>
      </c>
      <c r="AB125" s="3">
        <f t="shared" si="33"/>
        <v>0</v>
      </c>
      <c r="AC125" s="171">
        <f t="shared" si="33"/>
        <v>0</v>
      </c>
      <c r="AD125" s="255">
        <f t="shared" si="29"/>
        <v>0.27953600000000001</v>
      </c>
      <c r="AE125" s="2">
        <v>30</v>
      </c>
      <c r="AF125" s="63">
        <f t="shared" si="30"/>
        <v>8.3860799999999998</v>
      </c>
      <c r="AH125" s="470"/>
      <c r="AI125" s="470"/>
      <c r="AJ125" s="470"/>
      <c r="AK125" s="470"/>
      <c r="AL125" s="470"/>
      <c r="AM125" s="470"/>
      <c r="AN125" s="470"/>
      <c r="AO125" s="470"/>
      <c r="AP125" s="470"/>
      <c r="AQ125" s="470"/>
      <c r="AR125" s="470"/>
      <c r="AS125" s="470"/>
      <c r="AT125" s="470"/>
      <c r="AU125" s="470"/>
      <c r="AV125" s="470"/>
      <c r="AW125" s="470"/>
      <c r="AX125" s="470"/>
      <c r="AY125" s="470"/>
      <c r="AZ125" s="470"/>
      <c r="BA125" s="470"/>
      <c r="BB125" s="470"/>
      <c r="BC125" s="470"/>
      <c r="BD125" s="470"/>
      <c r="BE125" s="470"/>
      <c r="BF125" s="470"/>
      <c r="BG125" s="470"/>
      <c r="BH125" s="470"/>
      <c r="BI125" s="470"/>
      <c r="BJ125" s="470"/>
    </row>
    <row r="126" spans="2:62" ht="15" customHeight="1" x14ac:dyDescent="0.2">
      <c r="B126" s="1047"/>
      <c r="D126" s="1019"/>
      <c r="E126" s="178">
        <v>5</v>
      </c>
      <c r="F126" s="163">
        <f t="shared" ref="F126:AC126" si="34">$H$14*$H$67*F55*$H$13</f>
        <v>0</v>
      </c>
      <c r="G126" s="3">
        <f t="shared" si="34"/>
        <v>0</v>
      </c>
      <c r="H126" s="3">
        <f t="shared" si="34"/>
        <v>0</v>
      </c>
      <c r="I126" s="3">
        <f t="shared" si="34"/>
        <v>0</v>
      </c>
      <c r="J126" s="3">
        <f t="shared" si="34"/>
        <v>5.4193548387096767E-5</v>
      </c>
      <c r="K126" s="3">
        <f t="shared" si="34"/>
        <v>1.9251612903225807E-3</v>
      </c>
      <c r="L126" s="3">
        <f t="shared" si="34"/>
        <v>7.5096774193548392E-3</v>
      </c>
      <c r="M126" s="3">
        <f t="shared" si="34"/>
        <v>1.4358709677419354E-2</v>
      </c>
      <c r="N126" s="3">
        <f t="shared" si="34"/>
        <v>2.2663225806451616E-2</v>
      </c>
      <c r="O126" s="3">
        <f t="shared" si="34"/>
        <v>3.1065806451612905E-2</v>
      </c>
      <c r="P126" s="3">
        <f t="shared" si="34"/>
        <v>3.7150967741935485E-2</v>
      </c>
      <c r="Q126" s="3">
        <f t="shared" si="34"/>
        <v>4.2276129032258067E-2</v>
      </c>
      <c r="R126" s="3">
        <f t="shared" si="34"/>
        <v>4.6583225806451613E-2</v>
      </c>
      <c r="S126" s="3">
        <f t="shared" si="34"/>
        <v>4.7716129032258074E-2</v>
      </c>
      <c r="T126" s="3">
        <f t="shared" si="34"/>
        <v>4.4180645161290326E-2</v>
      </c>
      <c r="U126" s="3">
        <f t="shared" si="34"/>
        <v>3.9824516129032254E-2</v>
      </c>
      <c r="V126" s="3">
        <f t="shared" si="34"/>
        <v>3.1981935483870967E-2</v>
      </c>
      <c r="W126" s="3">
        <f t="shared" si="34"/>
        <v>2.6172903225806454E-2</v>
      </c>
      <c r="X126" s="3">
        <f t="shared" si="34"/>
        <v>1.7767741935483871E-2</v>
      </c>
      <c r="Y126" s="3">
        <f t="shared" si="34"/>
        <v>9.6929032258064509E-3</v>
      </c>
      <c r="Z126" s="3">
        <f t="shared" si="34"/>
        <v>3.406451612903226E-3</v>
      </c>
      <c r="AA126" s="3">
        <f t="shared" si="34"/>
        <v>2.1161290322580645E-4</v>
      </c>
      <c r="AB126" s="3">
        <f t="shared" si="34"/>
        <v>0</v>
      </c>
      <c r="AC126" s="171">
        <f t="shared" si="34"/>
        <v>0</v>
      </c>
      <c r="AD126" s="255">
        <f t="shared" si="29"/>
        <v>0.42454193548387092</v>
      </c>
      <c r="AE126" s="2">
        <v>31</v>
      </c>
      <c r="AF126" s="63">
        <f t="shared" si="30"/>
        <v>13.160799999999998</v>
      </c>
      <c r="AH126" s="470"/>
      <c r="AI126" s="470"/>
      <c r="AJ126" s="470"/>
      <c r="AK126" s="470"/>
      <c r="AL126" s="470"/>
      <c r="AM126" s="470"/>
      <c r="AN126" s="470"/>
      <c r="AO126" s="470"/>
      <c r="AP126" s="470"/>
      <c r="AQ126" s="470"/>
      <c r="AR126" s="470"/>
      <c r="AS126" s="470"/>
      <c r="AT126" s="470"/>
      <c r="AU126" s="470"/>
      <c r="AV126" s="470"/>
      <c r="AW126" s="470"/>
      <c r="AX126" s="470"/>
      <c r="AY126" s="470"/>
      <c r="AZ126" s="470"/>
      <c r="BA126" s="470"/>
      <c r="BB126" s="470"/>
      <c r="BC126" s="470"/>
      <c r="BD126" s="470"/>
      <c r="BE126" s="470"/>
      <c r="BF126" s="470"/>
      <c r="BG126" s="470"/>
      <c r="BH126" s="470"/>
      <c r="BI126" s="470"/>
      <c r="BJ126" s="470"/>
    </row>
    <row r="127" spans="2:62" ht="15" customHeight="1" x14ac:dyDescent="0.2">
      <c r="B127" s="1047"/>
      <c r="D127" s="1019"/>
      <c r="E127" s="178">
        <v>6</v>
      </c>
      <c r="F127" s="163">
        <f t="shared" ref="F127:AC127" si="35">$H$14*$H$67*F56*$H$13</f>
        <v>0</v>
      </c>
      <c r="G127" s="3">
        <f t="shared" si="35"/>
        <v>0</v>
      </c>
      <c r="H127" s="3">
        <f t="shared" si="35"/>
        <v>0</v>
      </c>
      <c r="I127" s="3">
        <f t="shared" si="35"/>
        <v>0</v>
      </c>
      <c r="J127" s="3">
        <f t="shared" si="35"/>
        <v>7.5466666666666672E-4</v>
      </c>
      <c r="K127" s="3">
        <f t="shared" si="35"/>
        <v>3.5040000000000002E-3</v>
      </c>
      <c r="L127" s="3">
        <f t="shared" si="35"/>
        <v>8.3386666666666661E-3</v>
      </c>
      <c r="M127" s="3">
        <f t="shared" si="35"/>
        <v>1.5370666666666666E-2</v>
      </c>
      <c r="N127" s="3">
        <f t="shared" si="35"/>
        <v>2.273066666666667E-2</v>
      </c>
      <c r="O127" s="3">
        <f t="shared" si="35"/>
        <v>2.8933333333333335E-2</v>
      </c>
      <c r="P127" s="3">
        <f t="shared" si="35"/>
        <v>3.3360000000000001E-2</v>
      </c>
      <c r="Q127" s="3">
        <f t="shared" si="35"/>
        <v>3.972266666666667E-2</v>
      </c>
      <c r="R127" s="3">
        <f t="shared" si="35"/>
        <v>4.5154666666666662E-2</v>
      </c>
      <c r="S127" s="3">
        <f t="shared" si="35"/>
        <v>4.6440000000000002E-2</v>
      </c>
      <c r="T127" s="3">
        <f t="shared" si="35"/>
        <v>4.562133333333334E-2</v>
      </c>
      <c r="U127" s="3">
        <f t="shared" si="35"/>
        <v>4.4090666666666667E-2</v>
      </c>
      <c r="V127" s="3">
        <f t="shared" si="35"/>
        <v>3.7938666666666669E-2</v>
      </c>
      <c r="W127" s="3">
        <f t="shared" si="35"/>
        <v>3.1442666666666667E-2</v>
      </c>
      <c r="X127" s="3">
        <f t="shared" si="35"/>
        <v>2.2930666666666669E-2</v>
      </c>
      <c r="Y127" s="3">
        <f t="shared" si="35"/>
        <v>1.0770666666666666E-2</v>
      </c>
      <c r="Z127" s="3">
        <f t="shared" si="35"/>
        <v>5.3173333333333336E-3</v>
      </c>
      <c r="AA127" s="3">
        <f t="shared" si="35"/>
        <v>1.7733333333333334E-3</v>
      </c>
      <c r="AB127" s="3">
        <f t="shared" si="35"/>
        <v>0</v>
      </c>
      <c r="AC127" s="171">
        <f t="shared" si="35"/>
        <v>0</v>
      </c>
      <c r="AD127" s="255">
        <f t="shared" si="29"/>
        <v>0.44419466666666668</v>
      </c>
      <c r="AE127" s="2">
        <v>30</v>
      </c>
      <c r="AF127" s="63">
        <f t="shared" si="30"/>
        <v>13.325840000000001</v>
      </c>
      <c r="AH127" s="470"/>
      <c r="AI127" s="470"/>
      <c r="AJ127" s="470"/>
      <c r="AK127" s="470"/>
      <c r="AL127" s="470"/>
      <c r="AM127" s="470"/>
      <c r="AN127" s="470"/>
      <c r="AO127" s="470"/>
      <c r="AP127" s="470"/>
      <c r="AQ127" s="470"/>
      <c r="AR127" s="470"/>
      <c r="AS127" s="470"/>
      <c r="AT127" s="470"/>
      <c r="AU127" s="470"/>
      <c r="AV127" s="470"/>
      <c r="AW127" s="470"/>
      <c r="AX127" s="470"/>
      <c r="AY127" s="470"/>
      <c r="AZ127" s="470"/>
      <c r="BA127" s="470"/>
      <c r="BB127" s="470"/>
      <c r="BC127" s="470"/>
      <c r="BD127" s="470"/>
      <c r="BE127" s="470"/>
      <c r="BF127" s="470"/>
      <c r="BG127" s="470"/>
      <c r="BH127" s="470"/>
      <c r="BI127" s="470"/>
      <c r="BJ127" s="470"/>
    </row>
    <row r="128" spans="2:62" ht="15" customHeight="1" x14ac:dyDescent="0.2">
      <c r="B128" s="1047"/>
      <c r="D128" s="1019"/>
      <c r="E128" s="178">
        <v>7</v>
      </c>
      <c r="F128" s="163">
        <f t="shared" ref="F128:AC128" si="36">$H$14*$H$67*F57*$H$13</f>
        <v>0</v>
      </c>
      <c r="G128" s="3">
        <f t="shared" si="36"/>
        <v>0</v>
      </c>
      <c r="H128" s="3">
        <f t="shared" si="36"/>
        <v>0</v>
      </c>
      <c r="I128" s="3">
        <f t="shared" si="36"/>
        <v>0</v>
      </c>
      <c r="J128" s="3">
        <f t="shared" si="36"/>
        <v>1.3935483870967743E-4</v>
      </c>
      <c r="K128" s="3">
        <f t="shared" si="36"/>
        <v>2.0283870967741937E-3</v>
      </c>
      <c r="L128" s="3">
        <f t="shared" si="36"/>
        <v>5.8709677419354848E-3</v>
      </c>
      <c r="M128" s="3">
        <f t="shared" si="36"/>
        <v>1.0939354838709678E-2</v>
      </c>
      <c r="N128" s="3">
        <f t="shared" si="36"/>
        <v>1.6531612903225808E-2</v>
      </c>
      <c r="O128" s="3">
        <f t="shared" si="36"/>
        <v>2.4825806451612902E-2</v>
      </c>
      <c r="P128" s="3">
        <f t="shared" si="36"/>
        <v>2.9721290322580644E-2</v>
      </c>
      <c r="Q128" s="3">
        <f t="shared" si="36"/>
        <v>3.2203870967741938E-2</v>
      </c>
      <c r="R128" s="3">
        <f t="shared" si="36"/>
        <v>3.7393548387096777E-2</v>
      </c>
      <c r="S128" s="3">
        <f t="shared" si="36"/>
        <v>3.7651612903225808E-2</v>
      </c>
      <c r="T128" s="3">
        <f t="shared" si="36"/>
        <v>3.5429677419354835E-2</v>
      </c>
      <c r="U128" s="3">
        <f t="shared" si="36"/>
        <v>3.1267096774193551E-2</v>
      </c>
      <c r="V128" s="3">
        <f t="shared" si="36"/>
        <v>2.750451612903226E-2</v>
      </c>
      <c r="W128" s="3">
        <f t="shared" si="36"/>
        <v>2.4141935483870967E-2</v>
      </c>
      <c r="X128" s="3">
        <f t="shared" si="36"/>
        <v>1.6913548387096772E-2</v>
      </c>
      <c r="Y128" s="3">
        <f t="shared" si="36"/>
        <v>1.0193548387096773E-2</v>
      </c>
      <c r="Z128" s="3">
        <f t="shared" si="36"/>
        <v>4.6580645161290327E-3</v>
      </c>
      <c r="AA128" s="3">
        <f t="shared" si="36"/>
        <v>9.161290322580645E-4</v>
      </c>
      <c r="AB128" s="3">
        <f t="shared" si="36"/>
        <v>0</v>
      </c>
      <c r="AC128" s="171">
        <f t="shared" si="36"/>
        <v>0</v>
      </c>
      <c r="AD128" s="255">
        <f t="shared" si="29"/>
        <v>0.34833032258064522</v>
      </c>
      <c r="AE128" s="2">
        <v>31</v>
      </c>
      <c r="AF128" s="63">
        <f t="shared" si="30"/>
        <v>10.798240000000002</v>
      </c>
      <c r="AH128" s="470"/>
      <c r="AI128" s="470"/>
      <c r="AJ128" s="470"/>
      <c r="AK128" s="470"/>
      <c r="AL128" s="470"/>
      <c r="AM128" s="470"/>
      <c r="AN128" s="470"/>
      <c r="AO128" s="470"/>
      <c r="AP128" s="470"/>
      <c r="AQ128" s="470"/>
      <c r="AR128" s="470"/>
      <c r="AS128" s="470"/>
      <c r="AT128" s="470"/>
      <c r="AU128" s="470"/>
      <c r="AV128" s="470"/>
      <c r="AW128" s="470"/>
      <c r="AX128" s="470"/>
      <c r="AY128" s="470"/>
      <c r="AZ128" s="470"/>
      <c r="BA128" s="470"/>
      <c r="BB128" s="470"/>
      <c r="BC128" s="470"/>
      <c r="BD128" s="470"/>
      <c r="BE128" s="470"/>
      <c r="BF128" s="470"/>
      <c r="BG128" s="470"/>
      <c r="BH128" s="470"/>
      <c r="BI128" s="470"/>
      <c r="BJ128" s="470"/>
    </row>
    <row r="129" spans="2:62" ht="15" customHeight="1" x14ac:dyDescent="0.2">
      <c r="B129" s="1047"/>
      <c r="D129" s="1019"/>
      <c r="E129" s="178">
        <v>8</v>
      </c>
      <c r="F129" s="163">
        <f t="shared" ref="F129:AC129" si="37">$H$14*$H$67*F58*$H$13</f>
        <v>0</v>
      </c>
      <c r="G129" s="3">
        <f t="shared" si="37"/>
        <v>0</v>
      </c>
      <c r="H129" s="3">
        <f t="shared" si="37"/>
        <v>0</v>
      </c>
      <c r="I129" s="3">
        <f t="shared" si="37"/>
        <v>0</v>
      </c>
      <c r="J129" s="3">
        <f t="shared" si="37"/>
        <v>0</v>
      </c>
      <c r="K129" s="3">
        <f t="shared" si="37"/>
        <v>2.0387096774193548E-4</v>
      </c>
      <c r="L129" s="3">
        <f t="shared" si="37"/>
        <v>2.2193548387096774E-3</v>
      </c>
      <c r="M129" s="3">
        <f t="shared" si="37"/>
        <v>6.4851612903225808E-3</v>
      </c>
      <c r="N129" s="3">
        <f t="shared" si="37"/>
        <v>1.5109677419354839E-2</v>
      </c>
      <c r="O129" s="3">
        <f t="shared" si="37"/>
        <v>2.2270967741935484E-2</v>
      </c>
      <c r="P129" s="3">
        <f t="shared" si="37"/>
        <v>2.754064516129032E-2</v>
      </c>
      <c r="Q129" s="3">
        <f t="shared" si="37"/>
        <v>3.1695483870967739E-2</v>
      </c>
      <c r="R129" s="3">
        <f t="shared" si="37"/>
        <v>3.4841290322580647E-2</v>
      </c>
      <c r="S129" s="3">
        <f t="shared" si="37"/>
        <v>3.6498064516129032E-2</v>
      </c>
      <c r="T129" s="3">
        <f t="shared" si="37"/>
        <v>3.4843870967741934E-2</v>
      </c>
      <c r="U129" s="3">
        <f t="shared" si="37"/>
        <v>3.0534193548387101E-2</v>
      </c>
      <c r="V129" s="3">
        <f t="shared" si="37"/>
        <v>2.5865806451612905E-2</v>
      </c>
      <c r="W129" s="3">
        <f t="shared" si="37"/>
        <v>1.9870967741935485E-2</v>
      </c>
      <c r="X129" s="3">
        <f t="shared" si="37"/>
        <v>9.7290322580645162E-3</v>
      </c>
      <c r="Y129" s="3">
        <f t="shared" si="37"/>
        <v>4.072258064516129E-3</v>
      </c>
      <c r="Z129" s="3">
        <f t="shared" si="37"/>
        <v>1.055483870967742E-3</v>
      </c>
      <c r="AA129" s="3">
        <f t="shared" si="37"/>
        <v>0</v>
      </c>
      <c r="AB129" s="3">
        <f t="shared" si="37"/>
        <v>0</v>
      </c>
      <c r="AC129" s="171">
        <f t="shared" si="37"/>
        <v>0</v>
      </c>
      <c r="AD129" s="255">
        <f t="shared" si="29"/>
        <v>0.30283612903225809</v>
      </c>
      <c r="AE129" s="2">
        <v>31</v>
      </c>
      <c r="AF129" s="63">
        <f t="shared" si="30"/>
        <v>9.3879200000000012</v>
      </c>
      <c r="AH129" s="470"/>
      <c r="AI129" s="470"/>
      <c r="AJ129" s="470"/>
      <c r="AK129" s="470"/>
      <c r="AL129" s="470"/>
      <c r="AM129" s="470"/>
      <c r="AN129" s="470"/>
      <c r="AO129" s="470"/>
      <c r="AP129" s="470"/>
      <c r="AQ129" s="470"/>
      <c r="AR129" s="470"/>
      <c r="AS129" s="470"/>
      <c r="AT129" s="470"/>
      <c r="AU129" s="470"/>
      <c r="AV129" s="470"/>
      <c r="AW129" s="470"/>
      <c r="AX129" s="470"/>
      <c r="AY129" s="470"/>
      <c r="AZ129" s="470"/>
      <c r="BA129" s="470"/>
      <c r="BB129" s="470"/>
      <c r="BC129" s="470"/>
      <c r="BD129" s="470"/>
      <c r="BE129" s="470"/>
      <c r="BF129" s="470"/>
      <c r="BG129" s="470"/>
      <c r="BH129" s="470"/>
      <c r="BI129" s="470"/>
      <c r="BJ129" s="470"/>
    </row>
    <row r="130" spans="2:62" ht="15" customHeight="1" x14ac:dyDescent="0.2">
      <c r="B130" s="1047"/>
      <c r="D130" s="1019"/>
      <c r="E130" s="178">
        <v>9</v>
      </c>
      <c r="F130" s="163">
        <f t="shared" ref="F130:AC130" si="38">$H$14*$H$67*F59*$H$13</f>
        <v>0</v>
      </c>
      <c r="G130" s="3">
        <f t="shared" si="38"/>
        <v>0</v>
      </c>
      <c r="H130" s="3">
        <f t="shared" si="38"/>
        <v>0</v>
      </c>
      <c r="I130" s="3">
        <f t="shared" si="38"/>
        <v>0</v>
      </c>
      <c r="J130" s="3">
        <f t="shared" si="38"/>
        <v>0</v>
      </c>
      <c r="K130" s="3">
        <f t="shared" si="38"/>
        <v>0</v>
      </c>
      <c r="L130" s="3">
        <f t="shared" si="38"/>
        <v>7.4666666666666661E-5</v>
      </c>
      <c r="M130" s="3">
        <f t="shared" si="38"/>
        <v>2.0613333333333334E-3</v>
      </c>
      <c r="N130" s="3">
        <f t="shared" si="38"/>
        <v>5.7493333333333329E-3</v>
      </c>
      <c r="O130" s="3">
        <f t="shared" si="38"/>
        <v>1.3058666666666665E-2</v>
      </c>
      <c r="P130" s="3">
        <f t="shared" si="38"/>
        <v>1.8426666666666668E-2</v>
      </c>
      <c r="Q130" s="3">
        <f t="shared" si="38"/>
        <v>2.2343999999999999E-2</v>
      </c>
      <c r="R130" s="3">
        <f t="shared" si="38"/>
        <v>2.4957333333333331E-2</v>
      </c>
      <c r="S130" s="3">
        <f t="shared" si="38"/>
        <v>2.5450666666666667E-2</v>
      </c>
      <c r="T130" s="3">
        <f t="shared" si="38"/>
        <v>2.353866666666667E-2</v>
      </c>
      <c r="U130" s="3">
        <f t="shared" si="38"/>
        <v>2.0002666666666665E-2</v>
      </c>
      <c r="V130" s="3">
        <f t="shared" si="38"/>
        <v>1.5805333333333334E-2</v>
      </c>
      <c r="W130" s="3">
        <f t="shared" si="38"/>
        <v>1.0295999999999998E-2</v>
      </c>
      <c r="X130" s="3">
        <f t="shared" si="38"/>
        <v>3.7866666666666673E-3</v>
      </c>
      <c r="Y130" s="3">
        <f t="shared" si="38"/>
        <v>4.4266666666666662E-4</v>
      </c>
      <c r="Z130" s="3">
        <f t="shared" si="38"/>
        <v>0</v>
      </c>
      <c r="AA130" s="3">
        <f t="shared" si="38"/>
        <v>0</v>
      </c>
      <c r="AB130" s="3">
        <f t="shared" si="38"/>
        <v>0</v>
      </c>
      <c r="AC130" s="171">
        <f t="shared" si="38"/>
        <v>0</v>
      </c>
      <c r="AD130" s="255">
        <f t="shared" si="29"/>
        <v>0.18599466666666667</v>
      </c>
      <c r="AE130" s="2">
        <v>30</v>
      </c>
      <c r="AF130" s="63">
        <f t="shared" si="30"/>
        <v>5.5798399999999999</v>
      </c>
      <c r="AH130" s="470"/>
      <c r="AI130" s="470"/>
      <c r="AJ130" s="470"/>
      <c r="AK130" s="470"/>
      <c r="AL130" s="470"/>
      <c r="AM130" s="470"/>
      <c r="AN130" s="470"/>
      <c r="AO130" s="470"/>
      <c r="AP130" s="470"/>
      <c r="AQ130" s="470"/>
      <c r="AR130" s="470"/>
      <c r="AS130" s="470"/>
      <c r="AT130" s="470"/>
      <c r="AU130" s="470"/>
      <c r="AV130" s="470"/>
      <c r="AW130" s="470"/>
      <c r="AX130" s="470"/>
      <c r="AY130" s="470"/>
      <c r="AZ130" s="470"/>
      <c r="BA130" s="470"/>
      <c r="BB130" s="470"/>
      <c r="BC130" s="470"/>
      <c r="BD130" s="470"/>
      <c r="BE130" s="470"/>
      <c r="BF130" s="470"/>
      <c r="BG130" s="470"/>
      <c r="BH130" s="470"/>
      <c r="BI130" s="470"/>
      <c r="BJ130" s="470"/>
    </row>
    <row r="131" spans="2:62" ht="15" customHeight="1" x14ac:dyDescent="0.2">
      <c r="B131" s="1047"/>
      <c r="D131" s="1019"/>
      <c r="E131" s="178">
        <v>10</v>
      </c>
      <c r="F131" s="163">
        <f t="shared" ref="F131:AC131" si="39">$H$14*$H$67*F60*$H$13</f>
        <v>0</v>
      </c>
      <c r="G131" s="3">
        <f t="shared" si="39"/>
        <v>0</v>
      </c>
      <c r="H131" s="3">
        <f t="shared" si="39"/>
        <v>0</v>
      </c>
      <c r="I131" s="3">
        <f t="shared" si="39"/>
        <v>0</v>
      </c>
      <c r="J131" s="3">
        <f t="shared" si="39"/>
        <v>0</v>
      </c>
      <c r="K131" s="3">
        <f t="shared" si="39"/>
        <v>0</v>
      </c>
      <c r="L131" s="3">
        <f t="shared" si="39"/>
        <v>0</v>
      </c>
      <c r="M131" s="3">
        <f t="shared" si="39"/>
        <v>4.6451612903225811E-5</v>
      </c>
      <c r="N131" s="3">
        <f t="shared" si="39"/>
        <v>1.8296774193548389E-3</v>
      </c>
      <c r="O131" s="3">
        <f t="shared" si="39"/>
        <v>5.4141935483870965E-3</v>
      </c>
      <c r="P131" s="3">
        <f t="shared" si="39"/>
        <v>9.0477419354838707E-3</v>
      </c>
      <c r="Q131" s="3">
        <f t="shared" si="39"/>
        <v>1.1421935483870969E-2</v>
      </c>
      <c r="R131" s="3">
        <f t="shared" si="39"/>
        <v>1.4283870967741936E-2</v>
      </c>
      <c r="S131" s="3">
        <f t="shared" si="39"/>
        <v>1.319483870967742E-2</v>
      </c>
      <c r="T131" s="3">
        <f t="shared" si="39"/>
        <v>1.0900645161290322E-2</v>
      </c>
      <c r="U131" s="3">
        <f t="shared" si="39"/>
        <v>8.7174193548387111E-3</v>
      </c>
      <c r="V131" s="3">
        <f t="shared" si="39"/>
        <v>5.4580645161290322E-3</v>
      </c>
      <c r="W131" s="3">
        <f t="shared" si="39"/>
        <v>9.1096774193548391E-4</v>
      </c>
      <c r="X131" s="3">
        <f t="shared" si="39"/>
        <v>1.5483870967741936E-5</v>
      </c>
      <c r="Y131" s="3">
        <f t="shared" si="39"/>
        <v>0</v>
      </c>
      <c r="Z131" s="3">
        <f t="shared" si="39"/>
        <v>0</v>
      </c>
      <c r="AA131" s="3">
        <f t="shared" si="39"/>
        <v>0</v>
      </c>
      <c r="AB131" s="3">
        <f t="shared" si="39"/>
        <v>0</v>
      </c>
      <c r="AC131" s="171">
        <f t="shared" si="39"/>
        <v>0</v>
      </c>
      <c r="AD131" s="255">
        <f t="shared" si="29"/>
        <v>8.1241290322580637E-2</v>
      </c>
      <c r="AE131" s="2">
        <v>31</v>
      </c>
      <c r="AF131" s="63">
        <f t="shared" si="30"/>
        <v>2.5184799999999998</v>
      </c>
      <c r="AH131" s="470"/>
      <c r="AI131" s="470"/>
      <c r="AJ131" s="470"/>
      <c r="AK131" s="470"/>
      <c r="AL131" s="470"/>
      <c r="AM131" s="470"/>
      <c r="AN131" s="470"/>
      <c r="AO131" s="470"/>
      <c r="AP131" s="470"/>
      <c r="AQ131" s="470"/>
      <c r="AR131" s="470"/>
      <c r="AS131" s="470"/>
      <c r="AT131" s="470"/>
      <c r="AU131" s="470"/>
      <c r="AV131" s="470"/>
      <c r="AW131" s="470"/>
      <c r="AX131" s="470"/>
      <c r="AY131" s="470"/>
      <c r="AZ131" s="470"/>
      <c r="BA131" s="470"/>
      <c r="BB131" s="470"/>
      <c r="BC131" s="470"/>
      <c r="BD131" s="470"/>
      <c r="BE131" s="470"/>
      <c r="BF131" s="470"/>
      <c r="BG131" s="470"/>
      <c r="BH131" s="470"/>
      <c r="BI131" s="470"/>
      <c r="BJ131" s="470"/>
    </row>
    <row r="132" spans="2:62" ht="15" customHeight="1" x14ac:dyDescent="0.2">
      <c r="B132" s="1047"/>
      <c r="D132" s="1019"/>
      <c r="E132" s="178">
        <v>11</v>
      </c>
      <c r="F132" s="163">
        <f t="shared" ref="F132:AC132" si="40">$H$14*$H$67*F61*$H$13</f>
        <v>0</v>
      </c>
      <c r="G132" s="3">
        <f t="shared" si="40"/>
        <v>0</v>
      </c>
      <c r="H132" s="3">
        <f t="shared" si="40"/>
        <v>0</v>
      </c>
      <c r="I132" s="3">
        <f t="shared" si="40"/>
        <v>0</v>
      </c>
      <c r="J132" s="3">
        <f t="shared" si="40"/>
        <v>0</v>
      </c>
      <c r="K132" s="3">
        <f t="shared" si="40"/>
        <v>0</v>
      </c>
      <c r="L132" s="3">
        <f t="shared" si="40"/>
        <v>0</v>
      </c>
      <c r="M132" s="3">
        <f t="shared" si="40"/>
        <v>0</v>
      </c>
      <c r="N132" s="3">
        <f t="shared" si="40"/>
        <v>0</v>
      </c>
      <c r="O132" s="3">
        <f t="shared" si="40"/>
        <v>1.1866666666666668E-3</v>
      </c>
      <c r="P132" s="3">
        <f t="shared" si="40"/>
        <v>2.6906666666666667E-3</v>
      </c>
      <c r="Q132" s="3">
        <f t="shared" si="40"/>
        <v>4.450666666666667E-3</v>
      </c>
      <c r="R132" s="3">
        <f t="shared" si="40"/>
        <v>5.8826666666666663E-3</v>
      </c>
      <c r="S132" s="3">
        <f t="shared" si="40"/>
        <v>5.8533333333333337E-3</v>
      </c>
      <c r="T132" s="3">
        <f t="shared" si="40"/>
        <v>4.7840000000000001E-3</v>
      </c>
      <c r="U132" s="3">
        <f t="shared" si="40"/>
        <v>3.5333333333333332E-3</v>
      </c>
      <c r="V132" s="3">
        <f t="shared" si="40"/>
        <v>6.6133333333333333E-4</v>
      </c>
      <c r="W132" s="3">
        <f t="shared" si="40"/>
        <v>0</v>
      </c>
      <c r="X132" s="3">
        <f t="shared" si="40"/>
        <v>0</v>
      </c>
      <c r="Y132" s="3">
        <f t="shared" si="40"/>
        <v>0</v>
      </c>
      <c r="Z132" s="3">
        <f t="shared" si="40"/>
        <v>0</v>
      </c>
      <c r="AA132" s="3">
        <f t="shared" si="40"/>
        <v>0</v>
      </c>
      <c r="AB132" s="3">
        <f t="shared" si="40"/>
        <v>0</v>
      </c>
      <c r="AC132" s="171">
        <f t="shared" si="40"/>
        <v>0</v>
      </c>
      <c r="AD132" s="255">
        <f t="shared" si="29"/>
        <v>2.9042666666666665E-2</v>
      </c>
      <c r="AE132" s="2">
        <v>30</v>
      </c>
      <c r="AF132" s="63">
        <f t="shared" si="30"/>
        <v>0.87127999999999994</v>
      </c>
      <c r="AH132" s="470"/>
      <c r="AI132" s="470"/>
      <c r="AJ132" s="470"/>
      <c r="AK132" s="470"/>
      <c r="AL132" s="470"/>
      <c r="AM132" s="470"/>
      <c r="AN132" s="470"/>
      <c r="AO132" s="470"/>
      <c r="AP132" s="470"/>
      <c r="AQ132" s="470"/>
      <c r="AR132" s="470"/>
      <c r="AS132" s="470"/>
      <c r="AT132" s="470"/>
      <c r="AU132" s="470"/>
      <c r="AV132" s="470"/>
      <c r="AW132" s="470"/>
      <c r="AX132" s="470"/>
      <c r="AY132" s="470"/>
      <c r="AZ132" s="470"/>
      <c r="BA132" s="470"/>
      <c r="BB132" s="470"/>
      <c r="BC132" s="470"/>
      <c r="BD132" s="470"/>
      <c r="BE132" s="470"/>
      <c r="BF132" s="470"/>
      <c r="BG132" s="470"/>
      <c r="BH132" s="470"/>
      <c r="BI132" s="470"/>
      <c r="BJ132" s="470"/>
    </row>
    <row r="133" spans="2:62" ht="15" customHeight="1" thickBot="1" x14ac:dyDescent="0.25">
      <c r="B133" s="1047"/>
      <c r="D133" s="1020"/>
      <c r="E133" s="179">
        <v>12</v>
      </c>
      <c r="F133" s="173">
        <f t="shared" ref="F133:AC133" si="41">$H$14*$H$67*F62*$H$13</f>
        <v>0</v>
      </c>
      <c r="G133" s="44">
        <f t="shared" si="41"/>
        <v>0</v>
      </c>
      <c r="H133" s="44">
        <f t="shared" si="41"/>
        <v>0</v>
      </c>
      <c r="I133" s="44">
        <f t="shared" si="41"/>
        <v>0</v>
      </c>
      <c r="J133" s="44">
        <f t="shared" si="41"/>
        <v>0</v>
      </c>
      <c r="K133" s="44">
        <f t="shared" si="41"/>
        <v>0</v>
      </c>
      <c r="L133" s="44">
        <f t="shared" si="41"/>
        <v>0</v>
      </c>
      <c r="M133" s="44">
        <f t="shared" si="41"/>
        <v>0</v>
      </c>
      <c r="N133" s="44">
        <f t="shared" si="41"/>
        <v>0</v>
      </c>
      <c r="O133" s="44">
        <f t="shared" si="41"/>
        <v>0</v>
      </c>
      <c r="P133" s="44">
        <f t="shared" si="41"/>
        <v>9.858064516129032E-4</v>
      </c>
      <c r="Q133" s="44">
        <f t="shared" si="41"/>
        <v>2.4258064516129033E-3</v>
      </c>
      <c r="R133" s="44">
        <f t="shared" si="41"/>
        <v>3.0038709677419357E-3</v>
      </c>
      <c r="S133" s="44">
        <f t="shared" si="41"/>
        <v>3.2283870967741934E-3</v>
      </c>
      <c r="T133" s="44">
        <f t="shared" si="41"/>
        <v>2.7174193548387101E-3</v>
      </c>
      <c r="U133" s="44">
        <f t="shared" si="41"/>
        <v>1.2825806451612905E-3</v>
      </c>
      <c r="V133" s="44">
        <f t="shared" si="41"/>
        <v>0</v>
      </c>
      <c r="W133" s="44">
        <f t="shared" si="41"/>
        <v>0</v>
      </c>
      <c r="X133" s="44">
        <f t="shared" si="41"/>
        <v>0</v>
      </c>
      <c r="Y133" s="44">
        <f t="shared" si="41"/>
        <v>0</v>
      </c>
      <c r="Z133" s="44">
        <f t="shared" si="41"/>
        <v>0</v>
      </c>
      <c r="AA133" s="44">
        <f t="shared" si="41"/>
        <v>0</v>
      </c>
      <c r="AB133" s="44">
        <f t="shared" si="41"/>
        <v>0</v>
      </c>
      <c r="AC133" s="256">
        <f t="shared" si="41"/>
        <v>0</v>
      </c>
      <c r="AD133" s="162">
        <f t="shared" si="29"/>
        <v>1.3643870967741938E-2</v>
      </c>
      <c r="AE133" s="10">
        <v>31</v>
      </c>
      <c r="AF133" s="170">
        <f t="shared" si="30"/>
        <v>0.42296000000000006</v>
      </c>
      <c r="AH133" s="470"/>
      <c r="AI133" s="470"/>
      <c r="AJ133" s="470"/>
      <c r="AK133" s="470"/>
      <c r="AL133" s="470"/>
      <c r="AM133" s="470"/>
      <c r="AN133" s="470"/>
      <c r="AO133" s="470"/>
      <c r="AP133" s="470"/>
      <c r="AQ133" s="470"/>
      <c r="AR133" s="470"/>
      <c r="AS133" s="470"/>
      <c r="AT133" s="470"/>
      <c r="AU133" s="470"/>
      <c r="AV133" s="470"/>
      <c r="AW133" s="470"/>
      <c r="AX133" s="470"/>
      <c r="AY133" s="470"/>
      <c r="AZ133" s="470"/>
      <c r="BA133" s="470"/>
      <c r="BB133" s="470"/>
      <c r="BC133" s="470"/>
      <c r="BD133" s="470"/>
      <c r="BE133" s="470"/>
      <c r="BF133" s="470"/>
      <c r="BG133" s="470"/>
      <c r="BH133" s="470"/>
      <c r="BI133" s="470"/>
      <c r="BJ133" s="470"/>
    </row>
    <row r="134" spans="2:62" ht="15" customHeight="1" thickBot="1" x14ac:dyDescent="0.25">
      <c r="B134" s="1048"/>
      <c r="D134" s="468"/>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1021" t="s">
        <v>594</v>
      </c>
      <c r="AE134" s="962"/>
      <c r="AF134" s="469">
        <f>SUM(AF122:AF133)</f>
        <v>71.67</v>
      </c>
      <c r="AH134" s="470"/>
      <c r="AI134" s="470"/>
      <c r="AJ134" s="470"/>
      <c r="AK134" s="470"/>
      <c r="AL134" s="470"/>
      <c r="AM134" s="470"/>
      <c r="AN134" s="470"/>
      <c r="AO134" s="470"/>
      <c r="AP134" s="470"/>
      <c r="AQ134" s="470"/>
      <c r="AR134" s="470"/>
      <c r="AS134" s="470"/>
      <c r="AT134" s="470"/>
      <c r="AU134" s="470"/>
      <c r="AV134" s="470"/>
      <c r="AW134" s="470"/>
      <c r="AX134" s="470"/>
      <c r="AY134" s="470"/>
      <c r="AZ134" s="470"/>
      <c r="BA134" s="470"/>
      <c r="BB134" s="470"/>
      <c r="BC134" s="470"/>
      <c r="BD134" s="470"/>
      <c r="BE134" s="470"/>
      <c r="BF134" s="470"/>
      <c r="BG134" s="470"/>
      <c r="BH134" s="470"/>
      <c r="BI134" s="470"/>
      <c r="BJ134" s="470"/>
    </row>
    <row r="135" spans="2:62" ht="15" customHeight="1" x14ac:dyDescent="0.2">
      <c r="B135" s="471"/>
      <c r="AH135" s="470"/>
      <c r="AI135" s="470"/>
      <c r="AJ135" s="470"/>
      <c r="AK135" s="470"/>
      <c r="AL135" s="470"/>
      <c r="AM135" s="470"/>
      <c r="AN135" s="470"/>
      <c r="AO135" s="470"/>
      <c r="AP135" s="470"/>
      <c r="AQ135" s="470"/>
      <c r="AR135" s="470"/>
      <c r="AS135" s="470"/>
      <c r="AT135" s="470"/>
      <c r="AU135" s="470"/>
      <c r="AV135" s="470"/>
      <c r="AW135" s="470"/>
      <c r="AX135" s="470"/>
      <c r="AY135" s="470"/>
      <c r="AZ135" s="470"/>
      <c r="BA135" s="470"/>
      <c r="BB135" s="470"/>
      <c r="BC135" s="470"/>
      <c r="BD135" s="470"/>
      <c r="BE135" s="470"/>
      <c r="BF135" s="470"/>
      <c r="BG135" s="470"/>
      <c r="BH135" s="470"/>
      <c r="BI135" s="470"/>
      <c r="BJ135" s="470"/>
    </row>
    <row r="136" spans="2:62" ht="15" customHeight="1" x14ac:dyDescent="0.2">
      <c r="AH136" s="470"/>
      <c r="AI136" s="470"/>
      <c r="AJ136" s="470"/>
      <c r="AK136" s="470"/>
      <c r="AL136" s="470"/>
      <c r="AM136" s="470"/>
      <c r="AN136" s="470"/>
      <c r="AO136" s="470"/>
      <c r="AP136" s="470"/>
      <c r="AQ136" s="470"/>
      <c r="AR136" s="470"/>
      <c r="AS136" s="470"/>
      <c r="AT136" s="470"/>
      <c r="AU136" s="470"/>
      <c r="AV136" s="470"/>
      <c r="AW136" s="470"/>
      <c r="AX136" s="470"/>
      <c r="AY136" s="470"/>
      <c r="AZ136" s="470"/>
      <c r="BA136" s="470"/>
      <c r="BB136" s="470"/>
      <c r="BC136" s="470"/>
      <c r="BD136" s="470"/>
      <c r="BE136" s="470"/>
      <c r="BF136" s="470"/>
      <c r="BG136" s="470"/>
      <c r="BH136" s="470"/>
      <c r="BI136" s="470"/>
      <c r="BJ136" s="470"/>
    </row>
    <row r="137" spans="2:62" ht="15" customHeight="1" x14ac:dyDescent="0.2">
      <c r="AH137" s="470"/>
      <c r="AI137" s="470"/>
      <c r="AJ137" s="470"/>
      <c r="AK137" s="470"/>
      <c r="AL137" s="470"/>
      <c r="AM137" s="470"/>
      <c r="AN137" s="470"/>
      <c r="AO137" s="470"/>
      <c r="AP137" s="470"/>
      <c r="AQ137" s="470"/>
      <c r="AR137" s="470"/>
      <c r="AS137" s="470"/>
      <c r="AT137" s="470"/>
      <c r="AU137" s="470"/>
      <c r="AV137" s="470"/>
      <c r="AW137" s="470"/>
      <c r="AX137" s="470"/>
      <c r="AY137" s="470"/>
      <c r="AZ137" s="470"/>
      <c r="BA137" s="470"/>
      <c r="BB137" s="470"/>
      <c r="BC137" s="470"/>
      <c r="BD137" s="470"/>
      <c r="BE137" s="470"/>
      <c r="BF137" s="470"/>
      <c r="BG137" s="470"/>
      <c r="BH137" s="470"/>
      <c r="BI137" s="470"/>
      <c r="BJ137" s="470"/>
    </row>
    <row r="138" spans="2:62" ht="16" thickBot="1" x14ac:dyDescent="0.25"/>
    <row r="139" spans="2:62" ht="19" customHeight="1" x14ac:dyDescent="0.2">
      <c r="B139" s="757" t="s">
        <v>26</v>
      </c>
      <c r="D139" s="852" t="s">
        <v>954</v>
      </c>
      <c r="E139" s="832"/>
      <c r="F139" s="832"/>
      <c r="G139" s="833"/>
      <c r="I139" s="852" t="s">
        <v>955</v>
      </c>
      <c r="J139" s="832"/>
      <c r="K139" s="832"/>
      <c r="L139" s="833"/>
      <c r="N139" s="831" t="s">
        <v>956</v>
      </c>
      <c r="O139" s="832"/>
      <c r="P139" s="833"/>
      <c r="Q139" s="169"/>
    </row>
    <row r="140" spans="2:62" ht="20" thickBot="1" x14ac:dyDescent="0.3">
      <c r="B140" s="758"/>
      <c r="D140" s="928" t="s">
        <v>945</v>
      </c>
      <c r="E140" s="929"/>
      <c r="F140" s="929"/>
      <c r="G140" s="930"/>
      <c r="I140" s="834" t="s">
        <v>945</v>
      </c>
      <c r="J140" s="835"/>
      <c r="K140" s="835"/>
      <c r="L140" s="836"/>
      <c r="N140" s="928" t="s">
        <v>947</v>
      </c>
      <c r="O140" s="929"/>
      <c r="P140" s="930"/>
      <c r="Q140" s="169"/>
      <c r="R140" s="169"/>
      <c r="S140" s="169"/>
      <c r="T140" s="169"/>
      <c r="U140" s="169"/>
      <c r="V140" s="169"/>
      <c r="W140" s="169"/>
      <c r="X140" s="169"/>
      <c r="Y140" s="169"/>
      <c r="Z140" s="169"/>
    </row>
    <row r="141" spans="2:62" ht="19" customHeight="1" x14ac:dyDescent="0.2">
      <c r="B141" s="758"/>
      <c r="D141" s="837" t="s">
        <v>598</v>
      </c>
      <c r="E141" s="838"/>
      <c r="F141" s="838"/>
      <c r="G141" s="195" t="s">
        <v>599</v>
      </c>
      <c r="I141" s="911" t="s">
        <v>598</v>
      </c>
      <c r="J141" s="912"/>
      <c r="K141" s="912"/>
      <c r="L141" s="476" t="s">
        <v>599</v>
      </c>
      <c r="N141" s="911" t="s">
        <v>607</v>
      </c>
      <c r="O141" s="912"/>
      <c r="P141" s="477" t="s">
        <v>606</v>
      </c>
      <c r="Q141" s="187"/>
      <c r="R141" s="169"/>
      <c r="S141" s="169"/>
      <c r="T141" s="169"/>
      <c r="U141" s="169"/>
      <c r="V141" s="169"/>
      <c r="W141" s="169"/>
      <c r="X141" s="169"/>
      <c r="Y141" s="169"/>
      <c r="Z141" s="169"/>
    </row>
    <row r="142" spans="2:62" ht="19" x14ac:dyDescent="0.2">
      <c r="B142" s="758"/>
      <c r="D142" s="909" t="s">
        <v>14</v>
      </c>
      <c r="E142" s="910"/>
      <c r="F142" s="910"/>
      <c r="G142" s="512">
        <f>AF96</f>
        <v>118.60127999999999</v>
      </c>
      <c r="I142" s="909" t="s">
        <v>927</v>
      </c>
      <c r="J142" s="910"/>
      <c r="K142" s="910"/>
      <c r="L142" s="512" cm="1">
        <f t="array" ref="L142">_xlfn.IFS(I5=1,AF96*P5*H5,I5=2,AF96*P6*H5)</f>
        <v>474.40511999999995</v>
      </c>
      <c r="N142" s="909" t="s">
        <v>605</v>
      </c>
      <c r="O142" s="910"/>
      <c r="P142" s="515">
        <v>432</v>
      </c>
      <c r="Q142" s="472"/>
      <c r="R142" s="169"/>
      <c r="S142" s="169"/>
      <c r="T142" s="169"/>
      <c r="U142" s="169"/>
      <c r="V142" s="169"/>
      <c r="W142" s="169"/>
      <c r="X142" s="169"/>
      <c r="Y142" s="169"/>
      <c r="Z142" s="169"/>
    </row>
    <row r="143" spans="2:62" ht="20" customHeight="1" thickBot="1" x14ac:dyDescent="0.25">
      <c r="B143" s="758"/>
      <c r="D143" s="947" t="s">
        <v>20</v>
      </c>
      <c r="E143" s="948"/>
      <c r="F143" s="948"/>
      <c r="G143" s="513">
        <f>AF115</f>
        <v>121.2932</v>
      </c>
      <c r="I143" s="947" t="s">
        <v>929</v>
      </c>
      <c r="J143" s="948"/>
      <c r="K143" s="948"/>
      <c r="L143" s="513" cm="1">
        <f t="array" ref="L143">_xlfn.IFS(I6=1,AF115*P5*H6,I5=2,AF115*P7*H6)</f>
        <v>485.1728</v>
      </c>
      <c r="N143" s="931" t="s">
        <v>185</v>
      </c>
      <c r="O143" s="932"/>
      <c r="P143" s="516">
        <v>810</v>
      </c>
      <c r="Q143" s="473"/>
      <c r="R143" s="169"/>
      <c r="S143" s="169"/>
      <c r="T143" s="169"/>
      <c r="U143" s="169"/>
      <c r="V143" s="169"/>
      <c r="W143" s="169"/>
      <c r="X143" s="169"/>
      <c r="Y143" s="169"/>
      <c r="Z143" s="169"/>
    </row>
    <row r="144" spans="2:62" ht="20" customHeight="1" thickBot="1" x14ac:dyDescent="0.3">
      <c r="B144" s="758"/>
      <c r="D144" s="1057" t="s">
        <v>15</v>
      </c>
      <c r="E144" s="1058"/>
      <c r="F144" s="1058"/>
      <c r="G144" s="514">
        <f>AF134</f>
        <v>71.67</v>
      </c>
      <c r="I144" s="909" t="s">
        <v>930</v>
      </c>
      <c r="J144" s="910"/>
      <c r="K144" s="910"/>
      <c r="L144" s="513" cm="1">
        <f t="array" ref="L144">_xlfn.IFS(I7=1,AF134*P5*H7,I7=2,AF134*P6*H7)</f>
        <v>430.02</v>
      </c>
      <c r="M144" s="90"/>
      <c r="N144" s="90"/>
      <c r="R144" s="169"/>
      <c r="V144" s="169"/>
      <c r="W144" s="169"/>
      <c r="X144" s="169"/>
      <c r="Y144" s="169"/>
      <c r="Z144" s="169"/>
    </row>
    <row r="145" spans="2:34" ht="19" x14ac:dyDescent="0.2">
      <c r="B145" s="758"/>
      <c r="I145" s="909" t="s">
        <v>923</v>
      </c>
      <c r="J145" s="910"/>
      <c r="K145" s="910"/>
      <c r="L145" s="512" cm="1">
        <f t="array" ref="L145">_xlfn.IFS(I8=1,AF96*P5*H8,I8=2,AF96*P6*H8)</f>
        <v>948.81023999999991</v>
      </c>
      <c r="R145" s="169"/>
      <c r="V145" s="169"/>
      <c r="W145" s="169"/>
      <c r="X145" s="169"/>
      <c r="Y145" s="169"/>
      <c r="Z145" s="169"/>
    </row>
    <row r="146" spans="2:34" ht="20" customHeight="1" x14ac:dyDescent="0.2">
      <c r="B146" s="758"/>
      <c r="I146" s="947" t="s">
        <v>924</v>
      </c>
      <c r="J146" s="948"/>
      <c r="K146" s="948"/>
      <c r="L146" s="513" cm="1">
        <f t="array" ref="L146">_xlfn.IFS(I9=1,AF115*P5*H9,I9=2,AF115*P6*H9)</f>
        <v>970.34559999999999</v>
      </c>
      <c r="R146" s="169"/>
      <c r="T146" s="843"/>
      <c r="U146" s="843"/>
      <c r="V146" s="843"/>
      <c r="W146" s="843"/>
      <c r="X146" s="843"/>
      <c r="Y146" s="843"/>
      <c r="Z146" s="169"/>
      <c r="AA146" s="843"/>
      <c r="AB146" s="843"/>
      <c r="AC146" s="843"/>
      <c r="AD146" s="843"/>
      <c r="AF146" s="843"/>
      <c r="AG146" s="843"/>
      <c r="AH146" s="843"/>
    </row>
    <row r="147" spans="2:34" ht="20" thickBot="1" x14ac:dyDescent="0.3">
      <c r="B147" s="759"/>
      <c r="I147" s="1057" t="s">
        <v>926</v>
      </c>
      <c r="J147" s="1058"/>
      <c r="K147" s="1058"/>
      <c r="L147" s="514" cm="1">
        <f t="array" ref="L147">_xlfn.IFS(I10=1,AF134*P5*H10,I10=2,AF134*P6*H10)</f>
        <v>860.04</v>
      </c>
      <c r="T147" s="990"/>
      <c r="U147" s="990"/>
      <c r="V147" s="990"/>
      <c r="W147" s="990"/>
      <c r="X147" s="990"/>
      <c r="Y147" s="990"/>
      <c r="Z147" s="449"/>
      <c r="AA147" s="990"/>
      <c r="AB147" s="990"/>
      <c r="AC147" s="990"/>
      <c r="AD147" s="990"/>
      <c r="AF147" s="990"/>
      <c r="AG147" s="990"/>
      <c r="AH147" s="990"/>
    </row>
    <row r="148" spans="2:34" ht="19" x14ac:dyDescent="0.2">
      <c r="B148" s="12"/>
      <c r="T148" s="843"/>
      <c r="U148" s="843"/>
      <c r="V148" s="187"/>
      <c r="W148" s="843"/>
      <c r="X148" s="843"/>
      <c r="Y148" s="232"/>
      <c r="AA148" s="843"/>
      <c r="AB148" s="843"/>
      <c r="AC148" s="843"/>
      <c r="AD148" s="232"/>
      <c r="AF148" s="843"/>
      <c r="AG148" s="843"/>
      <c r="AH148" s="187"/>
    </row>
    <row r="149" spans="2:34" ht="19" x14ac:dyDescent="0.2">
      <c r="T149" s="844"/>
      <c r="U149" s="844"/>
      <c r="V149" s="472"/>
      <c r="W149" s="1055"/>
      <c r="X149" s="1055"/>
      <c r="Y149" s="487"/>
      <c r="AA149" s="1055"/>
      <c r="AB149" s="1055"/>
      <c r="AC149" s="1055"/>
      <c r="AD149" s="487"/>
      <c r="AF149" s="844"/>
      <c r="AG149" s="844"/>
      <c r="AH149" s="472"/>
    </row>
    <row r="150" spans="2:34" ht="19" x14ac:dyDescent="0.2">
      <c r="T150" s="843"/>
      <c r="U150" s="843"/>
      <c r="V150" s="473"/>
      <c r="W150" s="1056"/>
      <c r="X150" s="1056"/>
      <c r="Y150" s="488"/>
      <c r="AA150" s="1056"/>
      <c r="AB150" s="1056"/>
      <c r="AC150" s="1056"/>
      <c r="AD150" s="488"/>
      <c r="AF150" s="843"/>
      <c r="AG150" s="843"/>
      <c r="AH150" s="473"/>
    </row>
    <row r="151" spans="2:34" ht="19" x14ac:dyDescent="0.25">
      <c r="W151" s="1055"/>
      <c r="X151" s="1055"/>
      <c r="Y151" s="488"/>
      <c r="AA151" s="1055"/>
      <c r="AB151" s="1055"/>
      <c r="AC151" s="1055"/>
      <c r="AD151" s="488"/>
      <c r="AF151" s="90"/>
      <c r="AG151" s="90"/>
    </row>
    <row r="152" spans="2:34" ht="19" x14ac:dyDescent="0.2">
      <c r="AA152" s="1055"/>
      <c r="AB152" s="1055"/>
      <c r="AC152" s="1055"/>
      <c r="AD152" s="487"/>
    </row>
    <row r="153" spans="2:34" ht="19" x14ac:dyDescent="0.2">
      <c r="AA153" s="1056"/>
      <c r="AB153" s="1056"/>
      <c r="AC153" s="1056"/>
      <c r="AD153" s="488"/>
    </row>
    <row r="154" spans="2:34" ht="19" x14ac:dyDescent="0.2">
      <c r="AA154" s="1055"/>
      <c r="AB154" s="1055"/>
      <c r="AC154" s="1055"/>
      <c r="AD154" s="488"/>
    </row>
    <row r="155" spans="2:34" x14ac:dyDescent="0.2">
      <c r="E155" s="167" t="s">
        <v>874</v>
      </c>
      <c r="F155" s="167"/>
    </row>
    <row r="156" spans="2:34" x14ac:dyDescent="0.2">
      <c r="E156" s="164" t="s">
        <v>595</v>
      </c>
    </row>
    <row r="157" spans="2:34" x14ac:dyDescent="0.2">
      <c r="E157" s="164" t="s">
        <v>592</v>
      </c>
    </row>
    <row r="158" spans="2:34" x14ac:dyDescent="0.2">
      <c r="E158" s="164" t="s">
        <v>590</v>
      </c>
    </row>
    <row r="159" spans="2:34" x14ac:dyDescent="0.2">
      <c r="E159" s="164" t="s">
        <v>584</v>
      </c>
    </row>
    <row r="160" spans="2:34" x14ac:dyDescent="0.2">
      <c r="E160" s="164" t="s">
        <v>585</v>
      </c>
    </row>
    <row r="161" spans="5:5" x14ac:dyDescent="0.2">
      <c r="E161" s="164" t="s">
        <v>586</v>
      </c>
    </row>
    <row r="162" spans="5:5" x14ac:dyDescent="0.2">
      <c r="E162" s="164" t="s">
        <v>591</v>
      </c>
    </row>
  </sheetData>
  <sheetProtection algorithmName="SHA-512" hashValue="kYusx/Af0vjV7HAaKlIJIey9WOuY+Kzrlnejfi5itmbYhCUcCb76UMjUfjOoSnMlNwDMRXd4CRBqdoJunXA2kw==" saltValue="4emCqJ53yt6yPODVLMDybQ==" spinCount="100000" sheet="1" objects="1" scenarios="1"/>
  <mergeCells count="133">
    <mergeCell ref="T148:U148"/>
    <mergeCell ref="T149:U149"/>
    <mergeCell ref="N143:O143"/>
    <mergeCell ref="N140:P140"/>
    <mergeCell ref="D140:G140"/>
    <mergeCell ref="I147:K147"/>
    <mergeCell ref="I141:K141"/>
    <mergeCell ref="I140:L140"/>
    <mergeCell ref="I144:K144"/>
    <mergeCell ref="I145:K145"/>
    <mergeCell ref="N141:O141"/>
    <mergeCell ref="N142:O142"/>
    <mergeCell ref="AA152:AC152"/>
    <mergeCell ref="AA153:AC153"/>
    <mergeCell ref="AA154:AC154"/>
    <mergeCell ref="D142:F142"/>
    <mergeCell ref="D144:F144"/>
    <mergeCell ref="T150:U150"/>
    <mergeCell ref="W150:X150"/>
    <mergeCell ref="AA150:AC150"/>
    <mergeCell ref="AF150:AG150"/>
    <mergeCell ref="W151:X151"/>
    <mergeCell ref="AA151:AC151"/>
    <mergeCell ref="W148:X148"/>
    <mergeCell ref="AA148:AC148"/>
    <mergeCell ref="AF148:AG148"/>
    <mergeCell ref="W149:X149"/>
    <mergeCell ref="AA149:AC149"/>
    <mergeCell ref="AF149:AG149"/>
    <mergeCell ref="W146:Y146"/>
    <mergeCell ref="AA146:AD146"/>
    <mergeCell ref="AF146:AH146"/>
    <mergeCell ref="W147:Y147"/>
    <mergeCell ref="AA147:AD147"/>
    <mergeCell ref="AF147:AH147"/>
    <mergeCell ref="I146:K146"/>
    <mergeCell ref="D120:AC120"/>
    <mergeCell ref="D143:F143"/>
    <mergeCell ref="D139:G139"/>
    <mergeCell ref="I139:L139"/>
    <mergeCell ref="D141:F141"/>
    <mergeCell ref="J10:L10"/>
    <mergeCell ref="I142:K142"/>
    <mergeCell ref="I143:K143"/>
    <mergeCell ref="D14:G14"/>
    <mergeCell ref="D83:D95"/>
    <mergeCell ref="AD101:AD102"/>
    <mergeCell ref="AE101:AE102"/>
    <mergeCell ref="AF101:AF102"/>
    <mergeCell ref="D98:AF99"/>
    <mergeCell ref="D5:G5"/>
    <mergeCell ref="D12:H12"/>
    <mergeCell ref="D13:G13"/>
    <mergeCell ref="B67:B134"/>
    <mergeCell ref="N139:P139"/>
    <mergeCell ref="B139:B147"/>
    <mergeCell ref="T146:V146"/>
    <mergeCell ref="T147:V147"/>
    <mergeCell ref="J8:L8"/>
    <mergeCell ref="J9:L9"/>
    <mergeCell ref="D70:G70"/>
    <mergeCell ref="H70:J70"/>
    <mergeCell ref="D71:G71"/>
    <mergeCell ref="H71:J71"/>
    <mergeCell ref="D72:G72"/>
    <mergeCell ref="H72:J72"/>
    <mergeCell ref="D69:G69"/>
    <mergeCell ref="AD82:AD83"/>
    <mergeCell ref="AE82:AE83"/>
    <mergeCell ref="AF82:AF83"/>
    <mergeCell ref="N3:R3"/>
    <mergeCell ref="D6:G6"/>
    <mergeCell ref="AD120:AD121"/>
    <mergeCell ref="AE120:AE121"/>
    <mergeCell ref="AF120:AF121"/>
    <mergeCell ref="D121:D133"/>
    <mergeCell ref="AD134:AE134"/>
    <mergeCell ref="D67:G67"/>
    <mergeCell ref="H67:J67"/>
    <mergeCell ref="D79:AF80"/>
    <mergeCell ref="D81:AF81"/>
    <mergeCell ref="D82:AC82"/>
    <mergeCell ref="D75:G75"/>
    <mergeCell ref="H75:J75"/>
    <mergeCell ref="D76:G76"/>
    <mergeCell ref="H76:J76"/>
    <mergeCell ref="D117:AF118"/>
    <mergeCell ref="D119:AF119"/>
    <mergeCell ref="D102:D114"/>
    <mergeCell ref="AD115:AE115"/>
    <mergeCell ref="D100:AF100"/>
    <mergeCell ref="D101:AC101"/>
    <mergeCell ref="AD96:AE96"/>
    <mergeCell ref="H69:J69"/>
    <mergeCell ref="AK19:AU19"/>
    <mergeCell ref="AF20:AI20"/>
    <mergeCell ref="AK20:AU20"/>
    <mergeCell ref="D50:D62"/>
    <mergeCell ref="AF21:AI21"/>
    <mergeCell ref="AK21:AU21"/>
    <mergeCell ref="AF22:AI22"/>
    <mergeCell ref="AK22:AU22"/>
    <mergeCell ref="AF23:AI23"/>
    <mergeCell ref="AK23:AU23"/>
    <mergeCell ref="D32:AC32"/>
    <mergeCell ref="D33:AC33"/>
    <mergeCell ref="D34:D46"/>
    <mergeCell ref="D48:AC48"/>
    <mergeCell ref="D49:AC49"/>
    <mergeCell ref="AC2:AN2"/>
    <mergeCell ref="B3:B62"/>
    <mergeCell ref="D4:G4"/>
    <mergeCell ref="AE3:AG3"/>
    <mergeCell ref="AH3:AJ3"/>
    <mergeCell ref="AK3:AL3"/>
    <mergeCell ref="D16:AC16"/>
    <mergeCell ref="D17:AC17"/>
    <mergeCell ref="AF17:AU17"/>
    <mergeCell ref="D18:D30"/>
    <mergeCell ref="AF18:AI18"/>
    <mergeCell ref="AK18:AU18"/>
    <mergeCell ref="AF19:AI19"/>
    <mergeCell ref="D3:L3"/>
    <mergeCell ref="T3:AA3"/>
    <mergeCell ref="T4:AA13"/>
    <mergeCell ref="D8:G8"/>
    <mergeCell ref="D9:G9"/>
    <mergeCell ref="J4:L4"/>
    <mergeCell ref="D7:G7"/>
    <mergeCell ref="D10:G10"/>
    <mergeCell ref="J5:L5"/>
    <mergeCell ref="J6:L6"/>
    <mergeCell ref="J7:L7"/>
  </mergeCells>
  <conditionalFormatting sqref="F19:AC30">
    <cfRule type="colorScale" priority="3">
      <colorScale>
        <cfvo type="min"/>
        <cfvo type="max"/>
        <color theme="8" tint="0.79998168889431442"/>
        <color theme="8"/>
      </colorScale>
    </cfRule>
    <cfRule type="colorScale" priority="4">
      <colorScale>
        <cfvo type="min"/>
        <cfvo type="percentile" val="50"/>
        <cfvo type="max"/>
        <color rgb="FFF8696B"/>
        <color rgb="FFFCFCFF"/>
        <color rgb="FF5A8AC6"/>
      </colorScale>
    </cfRule>
  </conditionalFormatting>
  <conditionalFormatting sqref="F35:AC46">
    <cfRule type="colorScale" priority="2">
      <colorScale>
        <cfvo type="min"/>
        <cfvo type="max"/>
        <color theme="8" tint="0.79998168889431442"/>
        <color theme="8"/>
      </colorScale>
    </cfRule>
    <cfRule type="colorScale" priority="6">
      <colorScale>
        <cfvo type="min"/>
        <cfvo type="percentile" val="50"/>
        <cfvo type="max"/>
        <color rgb="FF63BE7B"/>
        <color rgb="FFFFEB84"/>
        <color rgb="FFF8696B"/>
      </colorScale>
    </cfRule>
  </conditionalFormatting>
  <conditionalFormatting sqref="F51:AC62">
    <cfRule type="colorScale" priority="1">
      <colorScale>
        <cfvo type="min"/>
        <cfvo type="max"/>
        <color theme="8" tint="0.79998168889431442"/>
        <color theme="8"/>
      </colorScale>
    </cfRule>
    <cfRule type="colorScale" priority="5">
      <colorScale>
        <cfvo type="min"/>
        <cfvo type="percentile" val="50"/>
        <cfvo type="max"/>
        <color rgb="FF63BE7B"/>
        <color rgb="FFFFEB84"/>
        <color rgb="FFF8696B"/>
      </colorScale>
    </cfRule>
  </conditionalFormatting>
  <hyperlinks>
    <hyperlink ref="E157" r:id="rId1" xr:uid="{DE34D411-9068-B64F-A082-821CCDF860E7}"/>
    <hyperlink ref="E159" r:id="rId2" xr:uid="{1CC1C3B9-1058-9846-8FF9-6A32EE58237D}"/>
    <hyperlink ref="E160" r:id="rId3" xr:uid="{598CD686-0570-3143-9952-29D421D5EB91}"/>
    <hyperlink ref="E156" r:id="rId4" xr:uid="{55F66E86-53D6-2C41-8600-41B31C9E5D61}"/>
    <hyperlink ref="E158" r:id="rId5" xr:uid="{8E858972-0FA4-114C-8483-DE98CFA16652}"/>
    <hyperlink ref="E161" r:id="rId6" xr:uid="{A7DE30A6-5862-7B45-9C0A-95C0C045D6BB}"/>
    <hyperlink ref="E162" r:id="rId7" xr:uid="{C5BA0862-53AF-FC4B-82A9-DD3690FD6E0F}"/>
  </hyperlinks>
  <pageMargins left="0.7" right="0.7" top="0.75" bottom="0.75" header="0.3" footer="0.3"/>
  <pageSetup orientation="portrait" horizontalDpi="0" verticalDpi="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8BBA-09CC-094B-864E-131E0D71745D}">
  <sheetPr>
    <outlinePr summaryBelow="0"/>
  </sheetPr>
  <dimension ref="B2:T404"/>
  <sheetViews>
    <sheetView zoomScale="97" zoomScaleNormal="97" workbookViewId="0">
      <selection activeCell="M240" sqref="M240"/>
    </sheetView>
  </sheetViews>
  <sheetFormatPr baseColWidth="10" defaultRowHeight="15" outlineLevelRow="5" x14ac:dyDescent="0.2"/>
  <cols>
    <col min="1" max="1" width="5.83203125" style="1" customWidth="1"/>
    <col min="2" max="2" width="8.83203125" style="1" customWidth="1"/>
    <col min="3" max="3" width="5.6640625" style="1" customWidth="1"/>
    <col min="4" max="4" width="7.33203125" style="1" customWidth="1"/>
    <col min="5" max="5" width="6.33203125" style="1" customWidth="1"/>
    <col min="6" max="6" width="6.83203125" style="1" customWidth="1"/>
    <col min="7" max="7" width="8.33203125" style="1" customWidth="1"/>
    <col min="8" max="8" width="9.83203125" style="1" customWidth="1"/>
    <col min="9" max="9" width="14.1640625" style="1" customWidth="1"/>
    <col min="10" max="10" width="25.33203125" style="1" customWidth="1"/>
    <col min="11" max="11" width="21.33203125" style="1" customWidth="1"/>
    <col min="12" max="12" width="39.5" style="1" bestFit="1" customWidth="1"/>
    <col min="13" max="13" width="64" style="1" customWidth="1"/>
    <col min="14" max="14" width="24.33203125" style="1" customWidth="1"/>
    <col min="15" max="15" width="10.83203125" style="1"/>
    <col min="16" max="16" width="23.1640625" style="1" customWidth="1"/>
    <col min="17" max="17" width="24.83203125" style="1" customWidth="1"/>
    <col min="18" max="18" width="15.6640625" style="1" customWidth="1"/>
    <col min="19" max="19" width="12.33203125" style="1" customWidth="1"/>
    <col min="20" max="20" width="11.6640625" style="1" customWidth="1"/>
    <col min="21" max="16384" width="10.83203125" style="1"/>
  </cols>
  <sheetData>
    <row r="2" spans="2:15" ht="16" thickBot="1" x14ac:dyDescent="0.25"/>
    <row r="3" spans="2:15" ht="17" thickBot="1" x14ac:dyDescent="0.25">
      <c r="B3" s="757" t="s">
        <v>25</v>
      </c>
      <c r="D3" s="4"/>
      <c r="E3" s="4"/>
      <c r="F3" s="4"/>
      <c r="G3" s="4"/>
      <c r="H3" s="4"/>
      <c r="I3" s="4"/>
      <c r="J3" s="4"/>
    </row>
    <row r="4" spans="2:15" ht="16" customHeight="1" x14ac:dyDescent="0.2">
      <c r="B4" s="758"/>
      <c r="D4" s="760" t="s">
        <v>548</v>
      </c>
      <c r="E4" s="761"/>
      <c r="F4" s="761"/>
      <c r="G4" s="761"/>
      <c r="H4" s="761"/>
      <c r="I4" s="761"/>
      <c r="J4" s="762"/>
      <c r="L4" s="747" t="s">
        <v>626</v>
      </c>
      <c r="M4" s="748"/>
      <c r="N4" s="749"/>
    </row>
    <row r="5" spans="2:15" ht="16" x14ac:dyDescent="0.2">
      <c r="B5" s="758"/>
      <c r="D5" s="810" t="s">
        <v>19</v>
      </c>
      <c r="E5" s="811"/>
      <c r="F5" s="811"/>
      <c r="G5" s="811"/>
      <c r="H5" s="811"/>
      <c r="I5" s="811"/>
      <c r="J5" s="365" t="s">
        <v>17</v>
      </c>
      <c r="L5" s="1064"/>
      <c r="M5" s="1065"/>
      <c r="N5" s="1066"/>
      <c r="O5" s="4"/>
    </row>
    <row r="6" spans="2:15" x14ac:dyDescent="0.2">
      <c r="B6" s="758"/>
      <c r="D6" s="1059" t="s">
        <v>565</v>
      </c>
      <c r="E6" s="984"/>
      <c r="F6" s="984"/>
      <c r="G6" s="984"/>
      <c r="H6" s="984"/>
      <c r="I6" s="984"/>
      <c r="J6" s="631">
        <v>1700</v>
      </c>
      <c r="L6" s="975" t="s">
        <v>976</v>
      </c>
      <c r="M6" s="1067"/>
      <c r="N6" s="1068"/>
    </row>
    <row r="7" spans="2:15" x14ac:dyDescent="0.2">
      <c r="B7" s="758"/>
      <c r="D7" s="1062" t="s">
        <v>813</v>
      </c>
      <c r="E7" s="1063"/>
      <c r="F7" s="1063"/>
      <c r="G7" s="1063"/>
      <c r="H7" s="1063"/>
      <c r="I7" s="1063"/>
      <c r="J7" s="681">
        <v>482</v>
      </c>
      <c r="L7" s="1069"/>
      <c r="M7" s="1067"/>
      <c r="N7" s="1068"/>
      <c r="O7" s="788"/>
    </row>
    <row r="8" spans="2:15" ht="15" customHeight="1" x14ac:dyDescent="0.2">
      <c r="B8" s="758"/>
      <c r="D8" s="1060" t="s">
        <v>602</v>
      </c>
      <c r="E8" s="1061"/>
      <c r="F8" s="1061"/>
      <c r="G8" s="1061"/>
      <c r="H8" s="1061"/>
      <c r="I8" s="1061"/>
      <c r="J8" s="570">
        <v>27</v>
      </c>
      <c r="L8" s="1069"/>
      <c r="M8" s="1067"/>
      <c r="N8" s="1068"/>
      <c r="O8" s="788"/>
    </row>
    <row r="9" spans="2:15" ht="16" thickBot="1" x14ac:dyDescent="0.25">
      <c r="B9" s="758"/>
      <c r="D9" s="1079" t="s">
        <v>603</v>
      </c>
      <c r="E9" s="1080"/>
      <c r="F9" s="1080"/>
      <c r="G9" s="1080"/>
      <c r="H9" s="1080"/>
      <c r="I9" s="1081"/>
      <c r="J9" s="571">
        <v>15</v>
      </c>
      <c r="L9" s="1069"/>
      <c r="M9" s="1067"/>
      <c r="N9" s="1068"/>
      <c r="O9" s="788"/>
    </row>
    <row r="10" spans="2:15" ht="117" customHeight="1" thickBot="1" x14ac:dyDescent="0.25">
      <c r="B10" s="758"/>
      <c r="L10" s="1070"/>
      <c r="M10" s="1071"/>
      <c r="N10" s="1072"/>
      <c r="O10" s="788"/>
    </row>
    <row r="11" spans="2:15" ht="16" thickBot="1" x14ac:dyDescent="0.25">
      <c r="B11" s="758"/>
      <c r="N11" s="92"/>
      <c r="O11" s="110"/>
    </row>
    <row r="12" spans="2:15" x14ac:dyDescent="0.2">
      <c r="B12" s="758"/>
      <c r="D12" s="1073" t="s">
        <v>817</v>
      </c>
      <c r="E12" s="1074"/>
      <c r="F12" s="1074"/>
      <c r="G12" s="1074"/>
      <c r="H12" s="1074"/>
      <c r="I12" s="1074"/>
      <c r="J12" s="1074"/>
      <c r="K12" s="1074"/>
      <c r="L12" s="1074"/>
      <c r="M12" s="1074"/>
      <c r="N12" s="1075"/>
      <c r="O12" s="110"/>
    </row>
    <row r="13" spans="2:15" x14ac:dyDescent="0.2">
      <c r="B13" s="758"/>
      <c r="D13" s="1076"/>
      <c r="E13" s="1077"/>
      <c r="F13" s="1077"/>
      <c r="G13" s="1077"/>
      <c r="H13" s="1077"/>
      <c r="I13" s="1077"/>
      <c r="J13" s="1077"/>
      <c r="K13" s="1077"/>
      <c r="L13" s="1077"/>
      <c r="M13" s="1077"/>
      <c r="N13" s="1078"/>
      <c r="O13" s="110"/>
    </row>
    <row r="14" spans="2:15" ht="18" thickBot="1" x14ac:dyDescent="0.25">
      <c r="B14" s="758"/>
      <c r="D14" s="763" t="s">
        <v>213</v>
      </c>
      <c r="E14" s="764"/>
      <c r="F14" s="764"/>
      <c r="G14" s="764"/>
      <c r="H14" s="764"/>
      <c r="I14" s="764"/>
      <c r="J14" s="764"/>
      <c r="K14" s="297" t="s">
        <v>212</v>
      </c>
      <c r="L14" s="297" t="s">
        <v>812</v>
      </c>
      <c r="M14" s="297" t="s">
        <v>28</v>
      </c>
      <c r="N14" s="298" t="s">
        <v>83</v>
      </c>
      <c r="O14" s="110"/>
    </row>
    <row r="15" spans="2:15" ht="17" x14ac:dyDescent="0.2">
      <c r="B15" s="758"/>
      <c r="D15" s="1098" t="s">
        <v>214</v>
      </c>
      <c r="E15" s="1099"/>
      <c r="F15" s="1099"/>
      <c r="G15" s="1099"/>
      <c r="H15" s="1099"/>
      <c r="I15" s="1099"/>
      <c r="J15" s="1100"/>
      <c r="K15" s="436">
        <f>SUM(K16,K22,K219)</f>
        <v>2905484</v>
      </c>
      <c r="L15" s="437" t="s">
        <v>818</v>
      </c>
      <c r="M15" s="435"/>
      <c r="N15" s="438"/>
      <c r="O15" s="110"/>
    </row>
    <row r="16" spans="2:15" ht="16" outlineLevel="1" x14ac:dyDescent="0.2">
      <c r="B16" s="758"/>
      <c r="D16" s="415"/>
      <c r="E16" s="1101" t="s">
        <v>549</v>
      </c>
      <c r="F16" s="1101"/>
      <c r="G16" s="1101"/>
      <c r="H16" s="1101"/>
      <c r="I16" s="1101"/>
      <c r="J16" s="1102"/>
      <c r="K16" s="421">
        <f>SUM(K17:K19)</f>
        <v>23376</v>
      </c>
      <c r="L16" s="422" t="s">
        <v>819</v>
      </c>
      <c r="M16" s="398"/>
      <c r="N16" s="430"/>
      <c r="O16" s="110"/>
    </row>
    <row r="17" spans="2:15" ht="16" outlineLevel="2" x14ac:dyDescent="0.2">
      <c r="B17" s="758"/>
      <c r="D17" s="415"/>
      <c r="E17" s="418"/>
      <c r="F17" s="1101" t="s">
        <v>566</v>
      </c>
      <c r="G17" s="1101"/>
      <c r="H17" s="1101"/>
      <c r="I17" s="1101"/>
      <c r="J17" s="1102"/>
      <c r="K17" s="421">
        <f>J6</f>
        <v>1700</v>
      </c>
      <c r="L17" s="423" t="s">
        <v>878</v>
      </c>
      <c r="M17" s="429"/>
      <c r="N17" s="431" t="s">
        <v>815</v>
      </c>
      <c r="O17" s="110"/>
    </row>
    <row r="18" spans="2:15" ht="16" outlineLevel="2" x14ac:dyDescent="0.2">
      <c r="B18" s="758"/>
      <c r="D18" s="415"/>
      <c r="E18" s="418"/>
      <c r="F18" s="1101" t="s">
        <v>802</v>
      </c>
      <c r="G18" s="1101"/>
      <c r="H18" s="1101"/>
      <c r="I18" s="1101"/>
      <c r="J18" s="1102"/>
      <c r="K18" s="682">
        <v>15400</v>
      </c>
      <c r="L18" s="424"/>
      <c r="M18" s="429"/>
      <c r="N18" s="431" t="s">
        <v>814</v>
      </c>
      <c r="O18" s="110"/>
    </row>
    <row r="19" spans="2:15" ht="16" outlineLevel="2" x14ac:dyDescent="0.2">
      <c r="B19" s="758"/>
      <c r="D19" s="415"/>
      <c r="E19" s="418"/>
      <c r="F19" s="1101" t="s">
        <v>285</v>
      </c>
      <c r="G19" s="1101"/>
      <c r="H19" s="1101"/>
      <c r="I19" s="1101"/>
      <c r="J19" s="1102"/>
      <c r="K19" s="421">
        <f>SUM(K20:K21)</f>
        <v>6276</v>
      </c>
      <c r="L19" s="424" t="s">
        <v>820</v>
      </c>
      <c r="M19" s="429"/>
      <c r="N19" s="283"/>
      <c r="O19" s="110"/>
    </row>
    <row r="20" spans="2:15" ht="16" outlineLevel="4" x14ac:dyDescent="0.2">
      <c r="B20" s="758"/>
      <c r="D20" s="415"/>
      <c r="E20" s="418"/>
      <c r="F20" s="419"/>
      <c r="G20" s="1103" t="s">
        <v>286</v>
      </c>
      <c r="H20" s="1103"/>
      <c r="I20" s="1103"/>
      <c r="J20" s="1104"/>
      <c r="K20" s="682">
        <v>1276</v>
      </c>
      <c r="L20" s="425"/>
      <c r="M20" s="399" t="s">
        <v>816</v>
      </c>
      <c r="N20" s="431" t="s">
        <v>647</v>
      </c>
      <c r="O20" s="110"/>
    </row>
    <row r="21" spans="2:15" ht="16" outlineLevel="4" x14ac:dyDescent="0.2">
      <c r="B21" s="758"/>
      <c r="D21" s="415"/>
      <c r="E21" s="418"/>
      <c r="F21" s="419"/>
      <c r="G21" s="1103" t="s">
        <v>287</v>
      </c>
      <c r="H21" s="1103"/>
      <c r="I21" s="1103"/>
      <c r="J21" s="1104"/>
      <c r="K21" s="682">
        <v>5000</v>
      </c>
      <c r="L21" s="425"/>
      <c r="M21" s="399" t="s">
        <v>576</v>
      </c>
      <c r="N21" s="283"/>
      <c r="O21" s="110"/>
    </row>
    <row r="22" spans="2:15" s="89" customFormat="1" outlineLevel="1" x14ac:dyDescent="0.2">
      <c r="B22" s="758"/>
      <c r="D22" s="415"/>
      <c r="E22" s="1088" t="s">
        <v>305</v>
      </c>
      <c r="F22" s="1088"/>
      <c r="G22" s="1088"/>
      <c r="H22" s="1088"/>
      <c r="I22" s="1088"/>
      <c r="J22" s="1089"/>
      <c r="K22" s="421">
        <f>SUM(K23,K56,K67,K166,K167,K180,K212)</f>
        <v>2882108</v>
      </c>
      <c r="L22" s="426" t="s">
        <v>821</v>
      </c>
      <c r="M22" s="399"/>
      <c r="N22" s="432"/>
    </row>
    <row r="23" spans="2:15" s="89" customFormat="1" outlineLevel="2" x14ac:dyDescent="0.2">
      <c r="B23" s="758"/>
      <c r="D23" s="415"/>
      <c r="E23" s="420"/>
      <c r="F23" s="1086" t="s">
        <v>306</v>
      </c>
      <c r="G23" s="1086"/>
      <c r="H23" s="1086"/>
      <c r="I23" s="1086"/>
      <c r="J23" s="1087"/>
      <c r="K23" s="421">
        <f>SUM(K24,K28,K31,K32,K35,K41,K45,K51)</f>
        <v>1916000</v>
      </c>
      <c r="L23" s="426" t="s">
        <v>822</v>
      </c>
      <c r="M23" s="399"/>
      <c r="N23" s="433"/>
    </row>
    <row r="24" spans="2:15" outlineLevel="3" x14ac:dyDescent="0.2">
      <c r="B24" s="758"/>
      <c r="D24" s="415"/>
      <c r="E24" s="420"/>
      <c r="F24" s="420"/>
      <c r="G24" s="1086" t="s">
        <v>307</v>
      </c>
      <c r="H24" s="1086"/>
      <c r="I24" s="1086"/>
      <c r="J24" s="1087"/>
      <c r="K24" s="421">
        <f>SUM(K25:K27)</f>
        <v>260000</v>
      </c>
      <c r="L24" s="426" t="s">
        <v>823</v>
      </c>
      <c r="M24" s="399"/>
      <c r="N24" s="434"/>
    </row>
    <row r="25" spans="2:15" ht="48" outlineLevel="4" x14ac:dyDescent="0.2">
      <c r="B25" s="758"/>
      <c r="D25" s="415"/>
      <c r="E25" s="420"/>
      <c r="F25" s="420"/>
      <c r="G25" s="420"/>
      <c r="H25" s="1086" t="s">
        <v>308</v>
      </c>
      <c r="I25" s="1086"/>
      <c r="J25" s="1087"/>
      <c r="K25" s="682">
        <v>75000</v>
      </c>
      <c r="L25" s="427"/>
      <c r="M25" s="399" t="s">
        <v>650</v>
      </c>
      <c r="N25" s="434"/>
    </row>
    <row r="26" spans="2:15" ht="48" outlineLevel="4" x14ac:dyDescent="0.2">
      <c r="B26" s="758"/>
      <c r="D26" s="415"/>
      <c r="E26" s="420"/>
      <c r="F26" s="420"/>
      <c r="G26" s="420"/>
      <c r="H26" s="1086" t="s">
        <v>309</v>
      </c>
      <c r="I26" s="1086"/>
      <c r="J26" s="1087"/>
      <c r="K26" s="682">
        <v>35000</v>
      </c>
      <c r="L26" s="427"/>
      <c r="M26" s="399" t="s">
        <v>651</v>
      </c>
      <c r="N26" s="434"/>
      <c r="O26" s="1" t="s">
        <v>183</v>
      </c>
    </row>
    <row r="27" spans="2:15" ht="32" outlineLevel="4" x14ac:dyDescent="0.2">
      <c r="B27" s="758"/>
      <c r="D27" s="415"/>
      <c r="E27" s="420"/>
      <c r="F27" s="420"/>
      <c r="G27" s="420"/>
      <c r="H27" s="1086" t="s">
        <v>310</v>
      </c>
      <c r="I27" s="1086"/>
      <c r="J27" s="1087"/>
      <c r="K27" s="682">
        <v>150000</v>
      </c>
      <c r="L27" s="427"/>
      <c r="M27" s="399" t="s">
        <v>652</v>
      </c>
      <c r="N27" s="434"/>
    </row>
    <row r="28" spans="2:15" ht="48" outlineLevel="3" x14ac:dyDescent="0.2">
      <c r="B28" s="758"/>
      <c r="D28" s="415"/>
      <c r="E28" s="420"/>
      <c r="F28" s="420"/>
      <c r="G28" s="1088" t="s">
        <v>311</v>
      </c>
      <c r="H28" s="1088"/>
      <c r="I28" s="1088"/>
      <c r="J28" s="1089"/>
      <c r="K28" s="421">
        <f>SUM(K29:K30)</f>
        <v>0</v>
      </c>
      <c r="L28" s="426" t="s">
        <v>824</v>
      </c>
      <c r="M28" s="399" t="s">
        <v>653</v>
      </c>
      <c r="N28" s="434"/>
    </row>
    <row r="29" spans="2:15" outlineLevel="4" x14ac:dyDescent="0.2">
      <c r="B29" s="758"/>
      <c r="D29" s="415"/>
      <c r="E29" s="420"/>
      <c r="F29" s="420"/>
      <c r="G29" s="420"/>
      <c r="H29" s="1086" t="s">
        <v>312</v>
      </c>
      <c r="I29" s="1086"/>
      <c r="J29" s="1087"/>
      <c r="K29" s="682">
        <v>0</v>
      </c>
      <c r="L29" s="427"/>
      <c r="M29" s="399"/>
      <c r="N29" s="434"/>
    </row>
    <row r="30" spans="2:15" outlineLevel="4" x14ac:dyDescent="0.2">
      <c r="B30" s="758"/>
      <c r="D30" s="415"/>
      <c r="E30" s="420"/>
      <c r="F30" s="420"/>
      <c r="G30" s="420"/>
      <c r="H30" s="1086" t="s">
        <v>313</v>
      </c>
      <c r="I30" s="1086"/>
      <c r="J30" s="1087"/>
      <c r="K30" s="682">
        <v>0</v>
      </c>
      <c r="L30" s="427"/>
      <c r="M30" s="399"/>
      <c r="N30" s="434"/>
    </row>
    <row r="31" spans="2:15" outlineLevel="3" x14ac:dyDescent="0.2">
      <c r="B31" s="758"/>
      <c r="D31" s="415"/>
      <c r="E31" s="420"/>
      <c r="F31" s="420"/>
      <c r="G31" s="1088" t="s">
        <v>314</v>
      </c>
      <c r="H31" s="1088"/>
      <c r="I31" s="1088"/>
      <c r="J31" s="1089"/>
      <c r="K31" s="682">
        <v>0</v>
      </c>
      <c r="L31" s="427"/>
      <c r="M31" s="399"/>
      <c r="N31" s="434"/>
    </row>
    <row r="32" spans="2:15" outlineLevel="3" x14ac:dyDescent="0.2">
      <c r="B32" s="758"/>
      <c r="D32" s="415"/>
      <c r="E32" s="420"/>
      <c r="F32" s="420"/>
      <c r="G32" s="1086" t="s">
        <v>315</v>
      </c>
      <c r="H32" s="1086"/>
      <c r="I32" s="1086"/>
      <c r="J32" s="1087"/>
      <c r="K32" s="421">
        <f>SUM(K33:K34)</f>
        <v>0</v>
      </c>
      <c r="L32" s="426" t="s">
        <v>825</v>
      </c>
      <c r="M32" s="399"/>
      <c r="N32" s="434"/>
    </row>
    <row r="33" spans="2:14" outlineLevel="4" x14ac:dyDescent="0.2">
      <c r="B33" s="758"/>
      <c r="D33" s="415"/>
      <c r="E33" s="420"/>
      <c r="F33" s="420"/>
      <c r="G33" s="420"/>
      <c r="H33" s="1086" t="s">
        <v>316</v>
      </c>
      <c r="I33" s="1086"/>
      <c r="J33" s="1087"/>
      <c r="K33" s="682">
        <v>0</v>
      </c>
      <c r="L33" s="427"/>
      <c r="M33" s="399"/>
      <c r="N33" s="434"/>
    </row>
    <row r="34" spans="2:14" outlineLevel="4" x14ac:dyDescent="0.2">
      <c r="B34" s="758"/>
      <c r="D34" s="415"/>
      <c r="E34" s="420"/>
      <c r="F34" s="420"/>
      <c r="G34" s="420"/>
      <c r="H34" s="1086" t="s">
        <v>317</v>
      </c>
      <c r="I34" s="1086"/>
      <c r="J34" s="1087"/>
      <c r="K34" s="682">
        <v>0</v>
      </c>
      <c r="L34" s="427"/>
      <c r="M34" s="399"/>
      <c r="N34" s="434"/>
    </row>
    <row r="35" spans="2:14" outlineLevel="3" x14ac:dyDescent="0.2">
      <c r="B35" s="758"/>
      <c r="D35" s="415"/>
      <c r="E35" s="420"/>
      <c r="F35" s="420"/>
      <c r="G35" s="1088" t="s">
        <v>318</v>
      </c>
      <c r="H35" s="1088"/>
      <c r="I35" s="1088"/>
      <c r="J35" s="1089"/>
      <c r="K35" s="421">
        <f>SUM(K36:K40)</f>
        <v>1531000</v>
      </c>
      <c r="L35" s="426" t="s">
        <v>826</v>
      </c>
      <c r="M35" s="399"/>
      <c r="N35" s="434"/>
    </row>
    <row r="36" spans="2:14" ht="32" outlineLevel="4" x14ac:dyDescent="0.2">
      <c r="B36" s="758"/>
      <c r="D36" s="415"/>
      <c r="E36" s="420"/>
      <c r="F36" s="420"/>
      <c r="G36" s="420"/>
      <c r="H36" s="1086" t="s">
        <v>319</v>
      </c>
      <c r="I36" s="1086"/>
      <c r="J36" s="1087"/>
      <c r="K36" s="682">
        <v>600000</v>
      </c>
      <c r="L36" s="427"/>
      <c r="M36" s="399" t="s">
        <v>654</v>
      </c>
      <c r="N36" s="434"/>
    </row>
    <row r="37" spans="2:14" ht="16" outlineLevel="4" x14ac:dyDescent="0.2">
      <c r="B37" s="758"/>
      <c r="D37" s="415"/>
      <c r="E37" s="420"/>
      <c r="F37" s="420"/>
      <c r="G37" s="420"/>
      <c r="H37" s="1086" t="s">
        <v>320</v>
      </c>
      <c r="I37" s="1086"/>
      <c r="J37" s="1087"/>
      <c r="K37" s="421">
        <f>SUM(K38:K39)</f>
        <v>450000</v>
      </c>
      <c r="L37" s="426" t="s">
        <v>827</v>
      </c>
      <c r="M37" s="399" t="s">
        <v>510</v>
      </c>
      <c r="N37" s="434"/>
    </row>
    <row r="38" spans="2:14" outlineLevel="5" x14ac:dyDescent="0.2">
      <c r="B38" s="758"/>
      <c r="D38" s="415"/>
      <c r="E38" s="420"/>
      <c r="F38" s="420"/>
      <c r="G38" s="420"/>
      <c r="H38" s="420"/>
      <c r="I38" s="1086" t="s">
        <v>321</v>
      </c>
      <c r="J38" s="1087"/>
      <c r="K38" s="682">
        <v>275000</v>
      </c>
      <c r="L38" s="427"/>
      <c r="M38" s="399"/>
      <c r="N38" s="434"/>
    </row>
    <row r="39" spans="2:14" outlineLevel="5" x14ac:dyDescent="0.2">
      <c r="B39" s="758"/>
      <c r="D39" s="415"/>
      <c r="E39" s="420"/>
      <c r="F39" s="420"/>
      <c r="G39" s="420"/>
      <c r="H39" s="420"/>
      <c r="I39" s="1086" t="s">
        <v>322</v>
      </c>
      <c r="J39" s="1087"/>
      <c r="K39" s="682">
        <v>175000</v>
      </c>
      <c r="L39" s="427"/>
      <c r="M39" s="399"/>
      <c r="N39" s="434"/>
    </row>
    <row r="40" spans="2:14" ht="48" outlineLevel="4" x14ac:dyDescent="0.2">
      <c r="B40" s="758"/>
      <c r="D40" s="415"/>
      <c r="E40" s="420"/>
      <c r="F40" s="420"/>
      <c r="G40" s="420"/>
      <c r="H40" s="1088" t="s">
        <v>323</v>
      </c>
      <c r="I40" s="1088"/>
      <c r="J40" s="1089"/>
      <c r="K40" s="682">
        <v>31000</v>
      </c>
      <c r="L40" s="427"/>
      <c r="M40" s="399" t="s">
        <v>655</v>
      </c>
      <c r="N40" s="434"/>
    </row>
    <row r="41" spans="2:14" outlineLevel="3" x14ac:dyDescent="0.2">
      <c r="B41" s="758"/>
      <c r="D41" s="415"/>
      <c r="E41" s="420"/>
      <c r="F41" s="420"/>
      <c r="G41" s="1088" t="s">
        <v>324</v>
      </c>
      <c r="H41" s="1088"/>
      <c r="I41" s="1088"/>
      <c r="J41" s="1089"/>
      <c r="K41" s="421">
        <f>SUM(K42:K44)</f>
        <v>0</v>
      </c>
      <c r="L41" s="426" t="s">
        <v>828</v>
      </c>
      <c r="M41" s="399"/>
      <c r="N41" s="434"/>
    </row>
    <row r="42" spans="2:14" outlineLevel="4" x14ac:dyDescent="0.2">
      <c r="B42" s="758"/>
      <c r="D42" s="415"/>
      <c r="E42" s="420"/>
      <c r="F42" s="420"/>
      <c r="G42" s="420"/>
      <c r="H42" s="1086" t="s">
        <v>325</v>
      </c>
      <c r="I42" s="1086"/>
      <c r="J42" s="1087"/>
      <c r="K42" s="682">
        <v>0</v>
      </c>
      <c r="L42" s="427"/>
      <c r="M42" s="399"/>
      <c r="N42" s="434"/>
    </row>
    <row r="43" spans="2:14" outlineLevel="4" x14ac:dyDescent="0.2">
      <c r="B43" s="758"/>
      <c r="D43" s="415"/>
      <c r="E43" s="420"/>
      <c r="F43" s="420"/>
      <c r="G43" s="420"/>
      <c r="H43" s="1086" t="s">
        <v>326</v>
      </c>
      <c r="I43" s="1086"/>
      <c r="J43" s="1087"/>
      <c r="K43" s="682">
        <v>0</v>
      </c>
      <c r="L43" s="427"/>
      <c r="M43" s="399"/>
      <c r="N43" s="434"/>
    </row>
    <row r="44" spans="2:14" outlineLevel="4" x14ac:dyDescent="0.2">
      <c r="B44" s="758"/>
      <c r="D44" s="415"/>
      <c r="E44" s="420"/>
      <c r="F44" s="420"/>
      <c r="G44" s="420"/>
      <c r="H44" s="1086" t="s">
        <v>327</v>
      </c>
      <c r="I44" s="1086"/>
      <c r="J44" s="1087"/>
      <c r="K44" s="682">
        <v>0</v>
      </c>
      <c r="L44" s="427"/>
      <c r="M44" s="399"/>
      <c r="N44" s="434"/>
    </row>
    <row r="45" spans="2:14" ht="32" outlineLevel="3" x14ac:dyDescent="0.2">
      <c r="B45" s="758"/>
      <c r="D45" s="415"/>
      <c r="E45" s="420"/>
      <c r="F45" s="420"/>
      <c r="G45" s="1088" t="s">
        <v>328</v>
      </c>
      <c r="H45" s="1088"/>
      <c r="I45" s="1088"/>
      <c r="J45" s="1089"/>
      <c r="K45" s="421">
        <v>125000</v>
      </c>
      <c r="L45" s="426" t="s">
        <v>829</v>
      </c>
      <c r="M45" s="399" t="s">
        <v>710</v>
      </c>
      <c r="N45" s="434"/>
    </row>
    <row r="46" spans="2:14" outlineLevel="4" x14ac:dyDescent="0.2">
      <c r="B46" s="758"/>
      <c r="D46" s="415"/>
      <c r="E46" s="420"/>
      <c r="F46" s="420"/>
      <c r="G46" s="420"/>
      <c r="H46" s="1086" t="s">
        <v>329</v>
      </c>
      <c r="I46" s="1086"/>
      <c r="J46" s="1087"/>
      <c r="K46" s="682">
        <v>0</v>
      </c>
      <c r="L46" s="427"/>
      <c r="M46" s="399"/>
      <c r="N46" s="434"/>
    </row>
    <row r="47" spans="2:14" outlineLevel="4" x14ac:dyDescent="0.2">
      <c r="B47" s="758"/>
      <c r="D47" s="415"/>
      <c r="E47" s="420"/>
      <c r="F47" s="420"/>
      <c r="G47" s="420"/>
      <c r="H47" s="1086" t="s">
        <v>330</v>
      </c>
      <c r="I47" s="1086"/>
      <c r="J47" s="1087"/>
      <c r="K47" s="682">
        <v>0</v>
      </c>
      <c r="L47" s="427"/>
      <c r="M47" s="399"/>
      <c r="N47" s="434"/>
    </row>
    <row r="48" spans="2:14" outlineLevel="4" x14ac:dyDescent="0.2">
      <c r="B48" s="758"/>
      <c r="D48" s="415"/>
      <c r="E48" s="420"/>
      <c r="F48" s="420"/>
      <c r="G48" s="420"/>
      <c r="H48" s="1086" t="s">
        <v>331</v>
      </c>
      <c r="I48" s="1086"/>
      <c r="J48" s="1087"/>
      <c r="K48" s="682">
        <v>0</v>
      </c>
      <c r="L48" s="427"/>
      <c r="M48" s="399"/>
      <c r="N48" s="434"/>
    </row>
    <row r="49" spans="2:14" outlineLevel="4" x14ac:dyDescent="0.2">
      <c r="B49" s="758"/>
      <c r="D49" s="415"/>
      <c r="E49" s="420"/>
      <c r="F49" s="420"/>
      <c r="G49" s="420"/>
      <c r="H49" s="1086" t="s">
        <v>332</v>
      </c>
      <c r="I49" s="1086"/>
      <c r="J49" s="1087"/>
      <c r="K49" s="682">
        <v>0</v>
      </c>
      <c r="L49" s="427"/>
      <c r="M49" s="399"/>
      <c r="N49" s="434"/>
    </row>
    <row r="50" spans="2:14" outlineLevel="4" x14ac:dyDescent="0.2">
      <c r="B50" s="758"/>
      <c r="D50" s="415"/>
      <c r="E50" s="420"/>
      <c r="F50" s="420"/>
      <c r="G50" s="420"/>
      <c r="H50" s="1086" t="s">
        <v>333</v>
      </c>
      <c r="I50" s="1086"/>
      <c r="J50" s="1087"/>
      <c r="K50" s="682">
        <v>0</v>
      </c>
      <c r="L50" s="427"/>
      <c r="M50" s="399"/>
      <c r="N50" s="434"/>
    </row>
    <row r="51" spans="2:14" outlineLevel="3" x14ac:dyDescent="0.2">
      <c r="B51" s="758"/>
      <c r="D51" s="415"/>
      <c r="E51" s="420"/>
      <c r="F51" s="420"/>
      <c r="G51" s="1088" t="s">
        <v>334</v>
      </c>
      <c r="H51" s="1088"/>
      <c r="I51" s="1088"/>
      <c r="J51" s="1089"/>
      <c r="K51" s="421">
        <f>SUM(K52:K55)</f>
        <v>0</v>
      </c>
      <c r="L51" s="426" t="s">
        <v>830</v>
      </c>
      <c r="M51" s="399"/>
      <c r="N51" s="434"/>
    </row>
    <row r="52" spans="2:14" outlineLevel="4" x14ac:dyDescent="0.2">
      <c r="B52" s="758"/>
      <c r="D52" s="397"/>
      <c r="E52" s="420"/>
      <c r="F52" s="420"/>
      <c r="G52" s="420"/>
      <c r="H52" s="1086" t="s">
        <v>335</v>
      </c>
      <c r="I52" s="1086"/>
      <c r="J52" s="1087"/>
      <c r="K52" s="682">
        <v>0</v>
      </c>
      <c r="L52" s="427"/>
      <c r="M52" s="399"/>
      <c r="N52" s="434"/>
    </row>
    <row r="53" spans="2:14" outlineLevel="4" x14ac:dyDescent="0.2">
      <c r="B53" s="758"/>
      <c r="D53" s="415"/>
      <c r="E53" s="420"/>
      <c r="F53" s="420"/>
      <c r="G53" s="420"/>
      <c r="H53" s="1086" t="s">
        <v>336</v>
      </c>
      <c r="I53" s="1086"/>
      <c r="J53" s="1087"/>
      <c r="K53" s="682">
        <v>0</v>
      </c>
      <c r="L53" s="427"/>
      <c r="M53" s="399"/>
      <c r="N53" s="434"/>
    </row>
    <row r="54" spans="2:14" outlineLevel="4" x14ac:dyDescent="0.2">
      <c r="B54" s="758"/>
      <c r="D54" s="415"/>
      <c r="E54" s="420"/>
      <c r="F54" s="420"/>
      <c r="G54" s="420"/>
      <c r="H54" s="1086" t="s">
        <v>337</v>
      </c>
      <c r="I54" s="1086"/>
      <c r="J54" s="1087"/>
      <c r="K54" s="682">
        <v>0</v>
      </c>
      <c r="L54" s="427"/>
      <c r="M54" s="399"/>
      <c r="N54" s="434"/>
    </row>
    <row r="55" spans="2:14" outlineLevel="4" x14ac:dyDescent="0.2">
      <c r="B55" s="758"/>
      <c r="D55" s="415"/>
      <c r="E55" s="420"/>
      <c r="F55" s="420"/>
      <c r="G55" s="420"/>
      <c r="H55" s="1086" t="s">
        <v>338</v>
      </c>
      <c r="I55" s="1086"/>
      <c r="J55" s="1087"/>
      <c r="K55" s="682">
        <v>0</v>
      </c>
      <c r="L55" s="427"/>
      <c r="M55" s="399"/>
      <c r="N55" s="434"/>
    </row>
    <row r="56" spans="2:14" s="89" customFormat="1" ht="48" outlineLevel="2" x14ac:dyDescent="0.2">
      <c r="B56" s="758"/>
      <c r="D56" s="415"/>
      <c r="E56" s="420"/>
      <c r="F56" s="1088" t="s">
        <v>339</v>
      </c>
      <c r="G56" s="1088"/>
      <c r="H56" s="1088"/>
      <c r="I56" s="1088"/>
      <c r="J56" s="1089"/>
      <c r="K56" s="421">
        <f>0.5*K23</f>
        <v>958000</v>
      </c>
      <c r="L56" s="426" t="s">
        <v>831</v>
      </c>
      <c r="M56" s="399" t="s">
        <v>747</v>
      </c>
      <c r="N56" s="433"/>
    </row>
    <row r="57" spans="2:14" outlineLevel="3" x14ac:dyDescent="0.2">
      <c r="B57" s="758"/>
      <c r="D57" s="415"/>
      <c r="E57" s="420"/>
      <c r="F57" s="420"/>
      <c r="G57" s="1086" t="s">
        <v>340</v>
      </c>
      <c r="H57" s="1086"/>
      <c r="I57" s="1086"/>
      <c r="J57" s="1087"/>
      <c r="K57" s="682">
        <v>0</v>
      </c>
      <c r="L57" s="427"/>
      <c r="M57" s="399"/>
      <c r="N57" s="434"/>
    </row>
    <row r="58" spans="2:14" outlineLevel="3" x14ac:dyDescent="0.2">
      <c r="B58" s="758"/>
      <c r="D58" s="415"/>
      <c r="E58" s="420"/>
      <c r="F58" s="420"/>
      <c r="G58" s="1086" t="s">
        <v>341</v>
      </c>
      <c r="H58" s="1086"/>
      <c r="I58" s="1086"/>
      <c r="J58" s="1087"/>
      <c r="K58" s="682">
        <v>0</v>
      </c>
      <c r="L58" s="427"/>
      <c r="M58" s="399"/>
      <c r="N58" s="434"/>
    </row>
    <row r="59" spans="2:14" outlineLevel="3" x14ac:dyDescent="0.2">
      <c r="B59" s="758"/>
      <c r="D59" s="415"/>
      <c r="E59" s="420"/>
      <c r="F59" s="420"/>
      <c r="G59" s="1086" t="s">
        <v>342</v>
      </c>
      <c r="H59" s="1086"/>
      <c r="I59" s="1086"/>
      <c r="J59" s="1087"/>
      <c r="K59" s="421">
        <f>SUM(K60:K62)</f>
        <v>0</v>
      </c>
      <c r="L59" s="426" t="s">
        <v>832</v>
      </c>
      <c r="M59" s="399"/>
      <c r="N59" s="434"/>
    </row>
    <row r="60" spans="2:14" outlineLevel="4" x14ac:dyDescent="0.2">
      <c r="B60" s="758"/>
      <c r="D60" s="415"/>
      <c r="E60" s="420"/>
      <c r="F60" s="420"/>
      <c r="G60" s="420"/>
      <c r="H60" s="1086" t="s">
        <v>343</v>
      </c>
      <c r="I60" s="1086"/>
      <c r="J60" s="1087"/>
      <c r="K60" s="682">
        <v>0</v>
      </c>
      <c r="L60" s="427"/>
      <c r="M60" s="399"/>
      <c r="N60" s="434"/>
    </row>
    <row r="61" spans="2:14" outlineLevel="4" x14ac:dyDescent="0.2">
      <c r="B61" s="758"/>
      <c r="D61" s="415"/>
      <c r="E61" s="420"/>
      <c r="F61" s="420"/>
      <c r="G61" s="420"/>
      <c r="H61" s="1086" t="s">
        <v>344</v>
      </c>
      <c r="I61" s="1086"/>
      <c r="J61" s="1087"/>
      <c r="K61" s="682">
        <v>0</v>
      </c>
      <c r="L61" s="427"/>
      <c r="M61" s="399"/>
      <c r="N61" s="434"/>
    </row>
    <row r="62" spans="2:14" outlineLevel="4" x14ac:dyDescent="0.2">
      <c r="B62" s="758"/>
      <c r="D62" s="415"/>
      <c r="E62" s="420"/>
      <c r="F62" s="420"/>
      <c r="G62" s="420"/>
      <c r="H62" s="1086" t="s">
        <v>345</v>
      </c>
      <c r="I62" s="1086"/>
      <c r="J62" s="1087"/>
      <c r="K62" s="682">
        <v>0</v>
      </c>
      <c r="L62" s="427"/>
      <c r="M62" s="399"/>
      <c r="N62" s="434"/>
    </row>
    <row r="63" spans="2:14" outlineLevel="3" x14ac:dyDescent="0.2">
      <c r="B63" s="758"/>
      <c r="D63" s="415"/>
      <c r="E63" s="420"/>
      <c r="F63" s="420"/>
      <c r="G63" s="1088" t="s">
        <v>346</v>
      </c>
      <c r="H63" s="1088"/>
      <c r="I63" s="1088"/>
      <c r="J63" s="1089"/>
      <c r="K63" s="682">
        <v>0</v>
      </c>
      <c r="L63" s="427"/>
      <c r="M63" s="399"/>
      <c r="N63" s="434"/>
    </row>
    <row r="64" spans="2:14" outlineLevel="3" x14ac:dyDescent="0.2">
      <c r="B64" s="758"/>
      <c r="D64" s="415"/>
      <c r="E64" s="420"/>
      <c r="F64" s="420"/>
      <c r="G64" s="1086" t="s">
        <v>347</v>
      </c>
      <c r="H64" s="1086"/>
      <c r="I64" s="1086"/>
      <c r="J64" s="1087"/>
      <c r="K64" s="421">
        <f>SUM(K65:K66)</f>
        <v>0</v>
      </c>
      <c r="L64" s="426" t="s">
        <v>833</v>
      </c>
      <c r="M64" s="399"/>
      <c r="N64" s="434"/>
    </row>
    <row r="65" spans="2:14" outlineLevel="4" x14ac:dyDescent="0.2">
      <c r="B65" s="758"/>
      <c r="D65" s="415"/>
      <c r="E65" s="420"/>
      <c r="F65" s="420"/>
      <c r="G65" s="420"/>
      <c r="H65" s="1086" t="s">
        <v>348</v>
      </c>
      <c r="I65" s="1086"/>
      <c r="J65" s="1087"/>
      <c r="K65" s="682">
        <v>0</v>
      </c>
      <c r="L65" s="427"/>
      <c r="M65" s="399"/>
      <c r="N65" s="434"/>
    </row>
    <row r="66" spans="2:14" outlineLevel="4" x14ac:dyDescent="0.2">
      <c r="B66" s="758"/>
      <c r="D66" s="415"/>
      <c r="E66" s="420"/>
      <c r="F66" s="420"/>
      <c r="G66" s="420"/>
      <c r="H66" s="1086" t="s">
        <v>349</v>
      </c>
      <c r="I66" s="1086"/>
      <c r="J66" s="1087"/>
      <c r="K66" s="682">
        <v>0</v>
      </c>
      <c r="L66" s="427"/>
      <c r="M66" s="399"/>
      <c r="N66" s="434"/>
    </row>
    <row r="67" spans="2:14" s="89" customFormat="1" outlineLevel="2" x14ac:dyDescent="0.2">
      <c r="B67" s="758"/>
      <c r="D67" s="415"/>
      <c r="E67" s="420"/>
      <c r="F67" s="1088" t="s">
        <v>350</v>
      </c>
      <c r="G67" s="1088"/>
      <c r="H67" s="1088"/>
      <c r="I67" s="1088"/>
      <c r="J67" s="1089"/>
      <c r="K67" s="421">
        <f>SUM(K68,K80,K90,K97,K136,K157)</f>
        <v>1628</v>
      </c>
      <c r="L67" s="426" t="s">
        <v>834</v>
      </c>
      <c r="M67" s="399"/>
      <c r="N67" s="433"/>
    </row>
    <row r="68" spans="2:14" outlineLevel="3" x14ac:dyDescent="0.2">
      <c r="B68" s="758"/>
      <c r="D68" s="415"/>
      <c r="E68" s="420"/>
      <c r="F68" s="420"/>
      <c r="G68" s="1086" t="s">
        <v>351</v>
      </c>
      <c r="H68" s="1086"/>
      <c r="I68" s="1086"/>
      <c r="J68" s="1087"/>
      <c r="K68" s="421">
        <f>SUM(K69,K72,K78:K79)</f>
        <v>1628</v>
      </c>
      <c r="L68" s="426" t="s">
        <v>835</v>
      </c>
      <c r="M68" s="399"/>
      <c r="N68" s="434"/>
    </row>
    <row r="69" spans="2:14" outlineLevel="4" x14ac:dyDescent="0.2">
      <c r="B69" s="758"/>
      <c r="D69" s="415"/>
      <c r="E69" s="420"/>
      <c r="F69" s="420"/>
      <c r="G69" s="420"/>
      <c r="H69" s="1086" t="s">
        <v>352</v>
      </c>
      <c r="I69" s="1086"/>
      <c r="J69" s="1087"/>
      <c r="K69" s="421">
        <f>SUM(K70:K71)</f>
        <v>1628</v>
      </c>
      <c r="L69" s="426" t="s">
        <v>836</v>
      </c>
      <c r="M69" s="399"/>
      <c r="N69" s="434"/>
    </row>
    <row r="70" spans="2:14" ht="16" outlineLevel="5" x14ac:dyDescent="0.2">
      <c r="B70" s="758"/>
      <c r="D70" s="415"/>
      <c r="E70" s="420"/>
      <c r="F70" s="420"/>
      <c r="G70" s="420"/>
      <c r="H70" s="420"/>
      <c r="I70" s="1086" t="s">
        <v>353</v>
      </c>
      <c r="J70" s="1087"/>
      <c r="K70" s="682">
        <v>1628</v>
      </c>
      <c r="L70" s="427"/>
      <c r="M70" s="399" t="s">
        <v>656</v>
      </c>
      <c r="N70" s="434"/>
    </row>
    <row r="71" spans="2:14" outlineLevel="5" x14ac:dyDescent="0.2">
      <c r="B71" s="758"/>
      <c r="D71" s="415"/>
      <c r="E71" s="420"/>
      <c r="F71" s="420"/>
      <c r="G71" s="420"/>
      <c r="H71" s="420"/>
      <c r="I71" s="1086" t="s">
        <v>354</v>
      </c>
      <c r="J71" s="1087"/>
      <c r="K71" s="682">
        <v>0</v>
      </c>
      <c r="L71" s="427"/>
      <c r="M71" s="399"/>
      <c r="N71" s="434"/>
    </row>
    <row r="72" spans="2:14" outlineLevel="4" x14ac:dyDescent="0.2">
      <c r="B72" s="758"/>
      <c r="D72" s="415"/>
      <c r="E72" s="420"/>
      <c r="F72" s="420"/>
      <c r="G72" s="420"/>
      <c r="H72" s="1088" t="s">
        <v>355</v>
      </c>
      <c r="I72" s="1088"/>
      <c r="J72" s="1089"/>
      <c r="K72" s="421">
        <f>SUM(K73:K77)</f>
        <v>0</v>
      </c>
      <c r="L72" s="426" t="s">
        <v>837</v>
      </c>
      <c r="M72" s="399"/>
      <c r="N72" s="434"/>
    </row>
    <row r="73" spans="2:14" outlineLevel="5" x14ac:dyDescent="0.2">
      <c r="B73" s="758"/>
      <c r="D73" s="415"/>
      <c r="E73" s="420"/>
      <c r="F73" s="420"/>
      <c r="G73" s="420"/>
      <c r="H73" s="420"/>
      <c r="I73" s="1086" t="s">
        <v>356</v>
      </c>
      <c r="J73" s="1087"/>
      <c r="K73" s="682">
        <v>0</v>
      </c>
      <c r="L73" s="427"/>
      <c r="M73" s="399"/>
      <c r="N73" s="434"/>
    </row>
    <row r="74" spans="2:14" outlineLevel="5" x14ac:dyDescent="0.2">
      <c r="B74" s="758"/>
      <c r="D74" s="415"/>
      <c r="E74" s="420"/>
      <c r="F74" s="420"/>
      <c r="G74" s="420"/>
      <c r="H74" s="420"/>
      <c r="I74" s="1086" t="s">
        <v>357</v>
      </c>
      <c r="J74" s="1087"/>
      <c r="K74" s="682">
        <v>0</v>
      </c>
      <c r="L74" s="427"/>
      <c r="M74" s="399"/>
      <c r="N74" s="434"/>
    </row>
    <row r="75" spans="2:14" outlineLevel="5" x14ac:dyDescent="0.2">
      <c r="B75" s="758"/>
      <c r="D75" s="415"/>
      <c r="E75" s="420"/>
      <c r="F75" s="420"/>
      <c r="G75" s="420"/>
      <c r="H75" s="420"/>
      <c r="I75" s="1086" t="s">
        <v>358</v>
      </c>
      <c r="J75" s="1087"/>
      <c r="K75" s="682">
        <v>0</v>
      </c>
      <c r="L75" s="427"/>
      <c r="M75" s="399"/>
      <c r="N75" s="434"/>
    </row>
    <row r="76" spans="2:14" outlineLevel="5" x14ac:dyDescent="0.2">
      <c r="B76" s="758"/>
      <c r="D76" s="415"/>
      <c r="E76" s="420"/>
      <c r="F76" s="420"/>
      <c r="G76" s="420"/>
      <c r="H76" s="420"/>
      <c r="I76" s="1086" t="s">
        <v>359</v>
      </c>
      <c r="J76" s="1087"/>
      <c r="K76" s="682">
        <v>0</v>
      </c>
      <c r="L76" s="427"/>
      <c r="M76" s="399"/>
      <c r="N76" s="434"/>
    </row>
    <row r="77" spans="2:14" outlineLevel="5" x14ac:dyDescent="0.2">
      <c r="B77" s="758"/>
      <c r="D77" s="415"/>
      <c r="E77" s="420"/>
      <c r="F77" s="420"/>
      <c r="G77" s="420"/>
      <c r="H77" s="420"/>
      <c r="I77" s="1086" t="s">
        <v>360</v>
      </c>
      <c r="J77" s="1087"/>
      <c r="K77" s="682">
        <v>0</v>
      </c>
      <c r="L77" s="427"/>
      <c r="M77" s="399"/>
      <c r="N77" s="434"/>
    </row>
    <row r="78" spans="2:14" outlineLevel="4" x14ac:dyDescent="0.2">
      <c r="B78" s="758"/>
      <c r="D78" s="415"/>
      <c r="E78" s="420"/>
      <c r="F78" s="420"/>
      <c r="G78" s="420"/>
      <c r="H78" s="1088" t="s">
        <v>361</v>
      </c>
      <c r="I78" s="1088"/>
      <c r="J78" s="1089"/>
      <c r="K78" s="682">
        <v>0</v>
      </c>
      <c r="L78" s="427"/>
      <c r="M78" s="399"/>
      <c r="N78" s="434"/>
    </row>
    <row r="79" spans="2:14" outlineLevel="4" x14ac:dyDescent="0.2">
      <c r="B79" s="758"/>
      <c r="D79" s="415"/>
      <c r="E79" s="420"/>
      <c r="F79" s="420"/>
      <c r="G79" s="420"/>
      <c r="H79" s="1086" t="s">
        <v>362</v>
      </c>
      <c r="I79" s="1086"/>
      <c r="J79" s="1087"/>
      <c r="K79" s="682">
        <v>0</v>
      </c>
      <c r="L79" s="427"/>
      <c r="M79" s="399"/>
      <c r="N79" s="434"/>
    </row>
    <row r="80" spans="2:14" outlineLevel="3" x14ac:dyDescent="0.2">
      <c r="B80" s="758"/>
      <c r="D80" s="415"/>
      <c r="E80" s="420"/>
      <c r="F80" s="420"/>
      <c r="G80" s="1088" t="s">
        <v>363</v>
      </c>
      <c r="H80" s="1088"/>
      <c r="I80" s="1088"/>
      <c r="J80" s="1089"/>
      <c r="K80" s="421">
        <f>SUM(K81:K82,K88:K89)</f>
        <v>0</v>
      </c>
      <c r="L80" s="426" t="s">
        <v>838</v>
      </c>
      <c r="M80" s="399"/>
      <c r="N80" s="434"/>
    </row>
    <row r="81" spans="2:14" outlineLevel="4" x14ac:dyDescent="0.2">
      <c r="B81" s="758"/>
      <c r="D81" s="415"/>
      <c r="E81" s="420"/>
      <c r="F81" s="420"/>
      <c r="G81" s="420"/>
      <c r="H81" s="1086" t="s">
        <v>364</v>
      </c>
      <c r="I81" s="1086"/>
      <c r="J81" s="1087"/>
      <c r="K81" s="682">
        <v>0</v>
      </c>
      <c r="L81" s="427"/>
      <c r="M81" s="399"/>
      <c r="N81" s="434"/>
    </row>
    <row r="82" spans="2:14" outlineLevel="4" x14ac:dyDescent="0.2">
      <c r="B82" s="758"/>
      <c r="D82" s="415"/>
      <c r="E82" s="420"/>
      <c r="F82" s="420"/>
      <c r="G82" s="420"/>
      <c r="H82" s="1086" t="s">
        <v>365</v>
      </c>
      <c r="I82" s="1086"/>
      <c r="J82" s="1087"/>
      <c r="K82" s="421">
        <f>SUM(K83:K87)</f>
        <v>0</v>
      </c>
      <c r="L82" s="426" t="s">
        <v>839</v>
      </c>
      <c r="M82" s="399"/>
      <c r="N82" s="434"/>
    </row>
    <row r="83" spans="2:14" outlineLevel="5" x14ac:dyDescent="0.2">
      <c r="B83" s="758"/>
      <c r="D83" s="415"/>
      <c r="E83" s="420"/>
      <c r="F83" s="420"/>
      <c r="G83" s="420"/>
      <c r="H83" s="420"/>
      <c r="I83" s="1086" t="s">
        <v>366</v>
      </c>
      <c r="J83" s="1087"/>
      <c r="K83" s="682">
        <v>0</v>
      </c>
      <c r="L83" s="427"/>
      <c r="M83" s="399"/>
      <c r="N83" s="434"/>
    </row>
    <row r="84" spans="2:14" outlineLevel="5" x14ac:dyDescent="0.2">
      <c r="B84" s="758"/>
      <c r="D84" s="415"/>
      <c r="E84" s="420"/>
      <c r="F84" s="420"/>
      <c r="G84" s="420"/>
      <c r="H84" s="420"/>
      <c r="I84" s="1086" t="s">
        <v>367</v>
      </c>
      <c r="J84" s="1087"/>
      <c r="K84" s="682">
        <v>0</v>
      </c>
      <c r="L84" s="427"/>
      <c r="M84" s="399"/>
      <c r="N84" s="434"/>
    </row>
    <row r="85" spans="2:14" outlineLevel="5" x14ac:dyDescent="0.2">
      <c r="B85" s="758"/>
      <c r="D85" s="415"/>
      <c r="E85" s="420"/>
      <c r="F85" s="420"/>
      <c r="G85" s="420"/>
      <c r="H85" s="420"/>
      <c r="I85" s="1086" t="s">
        <v>368</v>
      </c>
      <c r="J85" s="1087"/>
      <c r="K85" s="682">
        <v>0</v>
      </c>
      <c r="L85" s="427"/>
      <c r="M85" s="399"/>
      <c r="N85" s="434"/>
    </row>
    <row r="86" spans="2:14" outlineLevel="5" x14ac:dyDescent="0.2">
      <c r="B86" s="758"/>
      <c r="D86" s="415"/>
      <c r="E86" s="420"/>
      <c r="F86" s="420"/>
      <c r="G86" s="420"/>
      <c r="H86" s="420"/>
      <c r="I86" s="1086" t="s">
        <v>369</v>
      </c>
      <c r="J86" s="1087"/>
      <c r="K86" s="682">
        <v>0</v>
      </c>
      <c r="L86" s="427"/>
      <c r="M86" s="399"/>
      <c r="N86" s="434"/>
    </row>
    <row r="87" spans="2:14" outlineLevel="5" x14ac:dyDescent="0.2">
      <c r="B87" s="758"/>
      <c r="D87" s="415"/>
      <c r="E87" s="420"/>
      <c r="F87" s="420"/>
      <c r="G87" s="420"/>
      <c r="H87" s="420"/>
      <c r="I87" s="1086" t="s">
        <v>370</v>
      </c>
      <c r="J87" s="1087"/>
      <c r="K87" s="682">
        <v>0</v>
      </c>
      <c r="L87" s="427"/>
      <c r="M87" s="399"/>
      <c r="N87" s="434"/>
    </row>
    <row r="88" spans="2:14" outlineLevel="4" x14ac:dyDescent="0.2">
      <c r="B88" s="758"/>
      <c r="D88" s="415"/>
      <c r="E88" s="420"/>
      <c r="F88" s="420"/>
      <c r="G88" s="420"/>
      <c r="H88" s="1088" t="s">
        <v>371</v>
      </c>
      <c r="I88" s="1088"/>
      <c r="J88" s="1089"/>
      <c r="K88" s="682">
        <v>0</v>
      </c>
      <c r="L88" s="427"/>
      <c r="M88" s="399"/>
      <c r="N88" s="434"/>
    </row>
    <row r="89" spans="2:14" outlineLevel="4" x14ac:dyDescent="0.2">
      <c r="B89" s="758"/>
      <c r="D89" s="415"/>
      <c r="E89" s="420"/>
      <c r="F89" s="420"/>
      <c r="G89" s="420"/>
      <c r="H89" s="1086" t="s">
        <v>372</v>
      </c>
      <c r="I89" s="1086"/>
      <c r="J89" s="1087"/>
      <c r="K89" s="682">
        <v>0</v>
      </c>
      <c r="L89" s="427"/>
      <c r="M89" s="399"/>
      <c r="N89" s="434"/>
    </row>
    <row r="90" spans="2:14" outlineLevel="3" x14ac:dyDescent="0.2">
      <c r="B90" s="758"/>
      <c r="D90" s="415"/>
      <c r="E90" s="420"/>
      <c r="F90" s="420"/>
      <c r="G90" s="1088" t="s">
        <v>373</v>
      </c>
      <c r="H90" s="1088"/>
      <c r="I90" s="1088"/>
      <c r="J90" s="1089"/>
      <c r="K90" s="421">
        <f>SUM(K91:K96)</f>
        <v>0</v>
      </c>
      <c r="L90" s="426" t="s">
        <v>840</v>
      </c>
      <c r="M90" s="399"/>
      <c r="N90" s="434"/>
    </row>
    <row r="91" spans="2:14" outlineLevel="4" x14ac:dyDescent="0.2">
      <c r="B91" s="758"/>
      <c r="D91" s="415"/>
      <c r="E91" s="420"/>
      <c r="F91" s="420"/>
      <c r="G91" s="420"/>
      <c r="H91" s="1086" t="s">
        <v>374</v>
      </c>
      <c r="I91" s="1086"/>
      <c r="J91" s="1087"/>
      <c r="K91" s="682">
        <v>0</v>
      </c>
      <c r="L91" s="427"/>
      <c r="M91" s="399"/>
      <c r="N91" s="434"/>
    </row>
    <row r="92" spans="2:14" outlineLevel="4" x14ac:dyDescent="0.2">
      <c r="B92" s="758"/>
      <c r="D92" s="415"/>
      <c r="E92" s="420"/>
      <c r="F92" s="420"/>
      <c r="G92" s="420"/>
      <c r="H92" s="1086" t="s">
        <v>375</v>
      </c>
      <c r="I92" s="1086"/>
      <c r="J92" s="1087"/>
      <c r="K92" s="682">
        <v>0</v>
      </c>
      <c r="L92" s="427"/>
      <c r="M92" s="399"/>
      <c r="N92" s="434"/>
    </row>
    <row r="93" spans="2:14" outlineLevel="4" x14ac:dyDescent="0.2">
      <c r="B93" s="758"/>
      <c r="D93" s="415"/>
      <c r="E93" s="420"/>
      <c r="F93" s="420"/>
      <c r="G93" s="420"/>
      <c r="H93" s="1086" t="s">
        <v>376</v>
      </c>
      <c r="I93" s="1086"/>
      <c r="J93" s="1087"/>
      <c r="K93" s="682">
        <v>0</v>
      </c>
      <c r="L93" s="427"/>
      <c r="M93" s="399"/>
      <c r="N93" s="434"/>
    </row>
    <row r="94" spans="2:14" outlineLevel="4" x14ac:dyDescent="0.2">
      <c r="B94" s="758"/>
      <c r="D94" s="415"/>
      <c r="E94" s="420"/>
      <c r="F94" s="420"/>
      <c r="G94" s="420"/>
      <c r="H94" s="1086" t="s">
        <v>377</v>
      </c>
      <c r="I94" s="1086"/>
      <c r="J94" s="1087"/>
      <c r="K94" s="682">
        <v>0</v>
      </c>
      <c r="L94" s="427"/>
      <c r="M94" s="399"/>
      <c r="N94" s="434"/>
    </row>
    <row r="95" spans="2:14" outlineLevel="4" x14ac:dyDescent="0.2">
      <c r="B95" s="758"/>
      <c r="D95" s="415"/>
      <c r="E95" s="420"/>
      <c r="F95" s="420"/>
      <c r="G95" s="420"/>
      <c r="H95" s="1086" t="s">
        <v>378</v>
      </c>
      <c r="I95" s="1086"/>
      <c r="J95" s="1087"/>
      <c r="K95" s="682">
        <v>0</v>
      </c>
      <c r="L95" s="427"/>
      <c r="M95" s="399"/>
      <c r="N95" s="434"/>
    </row>
    <row r="96" spans="2:14" outlineLevel="4" x14ac:dyDescent="0.2">
      <c r="B96" s="758"/>
      <c r="D96" s="415"/>
      <c r="E96" s="420"/>
      <c r="F96" s="420"/>
      <c r="G96" s="420"/>
      <c r="H96" s="1086" t="s">
        <v>379</v>
      </c>
      <c r="I96" s="1086"/>
      <c r="J96" s="1087"/>
      <c r="K96" s="682">
        <v>0</v>
      </c>
      <c r="L96" s="427"/>
      <c r="M96" s="399"/>
      <c r="N96" s="434"/>
    </row>
    <row r="97" spans="2:14" outlineLevel="3" x14ac:dyDescent="0.2">
      <c r="B97" s="758"/>
      <c r="D97" s="415"/>
      <c r="E97" s="420"/>
      <c r="F97" s="420"/>
      <c r="G97" s="1088" t="s">
        <v>380</v>
      </c>
      <c r="H97" s="1088"/>
      <c r="I97" s="1088"/>
      <c r="J97" s="1089"/>
      <c r="K97" s="421">
        <f>SUM(K98,K106,K113,K124)</f>
        <v>0</v>
      </c>
      <c r="L97" s="426" t="s">
        <v>841</v>
      </c>
      <c r="M97" s="399"/>
      <c r="N97" s="434"/>
    </row>
    <row r="98" spans="2:14" outlineLevel="4" x14ac:dyDescent="0.2">
      <c r="B98" s="758"/>
      <c r="D98" s="415"/>
      <c r="E98" s="420"/>
      <c r="F98" s="420"/>
      <c r="G98" s="420"/>
      <c r="H98" s="1086" t="s">
        <v>381</v>
      </c>
      <c r="I98" s="1086"/>
      <c r="J98" s="1087"/>
      <c r="K98" s="421">
        <f>SUM(K99:K105)</f>
        <v>0</v>
      </c>
      <c r="L98" s="426" t="s">
        <v>842</v>
      </c>
      <c r="M98" s="399"/>
      <c r="N98" s="434"/>
    </row>
    <row r="99" spans="2:14" outlineLevel="5" x14ac:dyDescent="0.2">
      <c r="B99" s="758"/>
      <c r="D99" s="415"/>
      <c r="E99" s="420"/>
      <c r="F99" s="420"/>
      <c r="G99" s="420"/>
      <c r="H99" s="420"/>
      <c r="I99" s="1086" t="s">
        <v>382</v>
      </c>
      <c r="J99" s="1087"/>
      <c r="K99" s="682">
        <v>0</v>
      </c>
      <c r="L99" s="427"/>
      <c r="M99" s="399"/>
      <c r="N99" s="434"/>
    </row>
    <row r="100" spans="2:14" outlineLevel="5" x14ac:dyDescent="0.2">
      <c r="B100" s="758"/>
      <c r="D100" s="415"/>
      <c r="E100" s="420"/>
      <c r="F100" s="420"/>
      <c r="G100" s="420"/>
      <c r="H100" s="420"/>
      <c r="I100" s="1086" t="s">
        <v>383</v>
      </c>
      <c r="J100" s="1087"/>
      <c r="K100" s="682">
        <v>0</v>
      </c>
      <c r="L100" s="427"/>
      <c r="M100" s="399"/>
      <c r="N100" s="434"/>
    </row>
    <row r="101" spans="2:14" outlineLevel="5" x14ac:dyDescent="0.2">
      <c r="B101" s="758"/>
      <c r="D101" s="415"/>
      <c r="E101" s="420"/>
      <c r="F101" s="420"/>
      <c r="G101" s="420"/>
      <c r="H101" s="420"/>
      <c r="I101" s="1086" t="s">
        <v>384</v>
      </c>
      <c r="J101" s="1087"/>
      <c r="K101" s="682">
        <v>0</v>
      </c>
      <c r="L101" s="427"/>
      <c r="M101" s="399"/>
      <c r="N101" s="434"/>
    </row>
    <row r="102" spans="2:14" outlineLevel="5" x14ac:dyDescent="0.2">
      <c r="B102" s="758"/>
      <c r="D102" s="415"/>
      <c r="E102" s="420"/>
      <c r="F102" s="420"/>
      <c r="G102" s="420"/>
      <c r="H102" s="420"/>
      <c r="I102" s="1086" t="s">
        <v>385</v>
      </c>
      <c r="J102" s="1087"/>
      <c r="K102" s="682">
        <v>0</v>
      </c>
      <c r="L102" s="427"/>
      <c r="M102" s="399"/>
      <c r="N102" s="434"/>
    </row>
    <row r="103" spans="2:14" outlineLevel="5" x14ac:dyDescent="0.2">
      <c r="B103" s="758"/>
      <c r="D103" s="415"/>
      <c r="E103" s="420"/>
      <c r="F103" s="420"/>
      <c r="G103" s="420"/>
      <c r="H103" s="420"/>
      <c r="I103" s="1086" t="s">
        <v>386</v>
      </c>
      <c r="J103" s="1087"/>
      <c r="K103" s="682">
        <v>0</v>
      </c>
      <c r="L103" s="427"/>
      <c r="M103" s="399"/>
      <c r="N103" s="434"/>
    </row>
    <row r="104" spans="2:14" outlineLevel="5" x14ac:dyDescent="0.2">
      <c r="B104" s="758"/>
      <c r="D104" s="415"/>
      <c r="E104" s="420"/>
      <c r="F104" s="420"/>
      <c r="G104" s="420"/>
      <c r="H104" s="420"/>
      <c r="I104" s="1086" t="s">
        <v>387</v>
      </c>
      <c r="J104" s="1087"/>
      <c r="K104" s="682">
        <v>0</v>
      </c>
      <c r="L104" s="427"/>
      <c r="M104" s="399"/>
      <c r="N104" s="434"/>
    </row>
    <row r="105" spans="2:14" outlineLevel="5" x14ac:dyDescent="0.2">
      <c r="B105" s="758"/>
      <c r="D105" s="415"/>
      <c r="E105" s="420"/>
      <c r="F105" s="420"/>
      <c r="G105" s="420"/>
      <c r="H105" s="420"/>
      <c r="I105" s="1086" t="s">
        <v>388</v>
      </c>
      <c r="J105" s="1087"/>
      <c r="K105" s="682">
        <v>0</v>
      </c>
      <c r="L105" s="427"/>
      <c r="M105" s="399"/>
      <c r="N105" s="434"/>
    </row>
    <row r="106" spans="2:14" outlineLevel="4" x14ac:dyDescent="0.2">
      <c r="B106" s="758"/>
      <c r="D106" s="415"/>
      <c r="E106" s="420"/>
      <c r="F106" s="420"/>
      <c r="G106" s="420"/>
      <c r="H106" s="1088" t="s">
        <v>389</v>
      </c>
      <c r="I106" s="1088"/>
      <c r="J106" s="1089"/>
      <c r="K106" s="421">
        <f>SUM(K107:K112)</f>
        <v>0</v>
      </c>
      <c r="L106" s="426" t="s">
        <v>843</v>
      </c>
      <c r="M106" s="399"/>
      <c r="N106" s="434"/>
    </row>
    <row r="107" spans="2:14" outlineLevel="5" x14ac:dyDescent="0.2">
      <c r="B107" s="758"/>
      <c r="D107" s="415"/>
      <c r="E107" s="420"/>
      <c r="F107" s="420"/>
      <c r="G107" s="420"/>
      <c r="H107" s="420"/>
      <c r="I107" s="1086" t="s">
        <v>390</v>
      </c>
      <c r="J107" s="1087"/>
      <c r="K107" s="682">
        <v>0</v>
      </c>
      <c r="L107" s="427"/>
      <c r="M107" s="399"/>
      <c r="N107" s="434"/>
    </row>
    <row r="108" spans="2:14" outlineLevel="5" x14ac:dyDescent="0.2">
      <c r="B108" s="758"/>
      <c r="D108" s="415"/>
      <c r="E108" s="420"/>
      <c r="F108" s="420"/>
      <c r="G108" s="420"/>
      <c r="H108" s="420"/>
      <c r="I108" s="1086" t="s">
        <v>391</v>
      </c>
      <c r="J108" s="1087"/>
      <c r="K108" s="682">
        <v>0</v>
      </c>
      <c r="L108" s="427"/>
      <c r="M108" s="399"/>
      <c r="N108" s="434"/>
    </row>
    <row r="109" spans="2:14" outlineLevel="5" x14ac:dyDescent="0.2">
      <c r="B109" s="758"/>
      <c r="D109" s="415"/>
      <c r="E109" s="420"/>
      <c r="F109" s="420"/>
      <c r="G109" s="420"/>
      <c r="H109" s="420"/>
      <c r="I109" s="1086" t="s">
        <v>392</v>
      </c>
      <c r="J109" s="1087"/>
      <c r="K109" s="682">
        <v>0</v>
      </c>
      <c r="L109" s="427"/>
      <c r="M109" s="399"/>
      <c r="N109" s="434"/>
    </row>
    <row r="110" spans="2:14" outlineLevel="5" x14ac:dyDescent="0.2">
      <c r="B110" s="758"/>
      <c r="D110" s="415"/>
      <c r="E110" s="420"/>
      <c r="F110" s="420"/>
      <c r="G110" s="420"/>
      <c r="H110" s="420"/>
      <c r="I110" s="1086" t="s">
        <v>393</v>
      </c>
      <c r="J110" s="1087"/>
      <c r="K110" s="682">
        <v>0</v>
      </c>
      <c r="L110" s="427"/>
      <c r="M110" s="399"/>
      <c r="N110" s="434"/>
    </row>
    <row r="111" spans="2:14" outlineLevel="5" x14ac:dyDescent="0.2">
      <c r="B111" s="758"/>
      <c r="D111" s="415"/>
      <c r="E111" s="420"/>
      <c r="F111" s="420"/>
      <c r="G111" s="420"/>
      <c r="H111" s="420"/>
      <c r="I111" s="1086" t="s">
        <v>394</v>
      </c>
      <c r="J111" s="1087"/>
      <c r="K111" s="682">
        <v>0</v>
      </c>
      <c r="L111" s="427"/>
      <c r="M111" s="399"/>
      <c r="N111" s="434"/>
    </row>
    <row r="112" spans="2:14" outlineLevel="5" x14ac:dyDescent="0.2">
      <c r="B112" s="758"/>
      <c r="D112" s="415"/>
      <c r="E112" s="420"/>
      <c r="F112" s="420"/>
      <c r="G112" s="420"/>
      <c r="H112" s="420"/>
      <c r="I112" s="1086" t="s">
        <v>395</v>
      </c>
      <c r="J112" s="1087"/>
      <c r="K112" s="682">
        <v>0</v>
      </c>
      <c r="L112" s="427"/>
      <c r="M112" s="399"/>
      <c r="N112" s="434"/>
    </row>
    <row r="113" spans="2:14" outlineLevel="4" x14ac:dyDescent="0.2">
      <c r="B113" s="758"/>
      <c r="D113" s="415"/>
      <c r="E113" s="420"/>
      <c r="F113" s="420"/>
      <c r="G113" s="420"/>
      <c r="H113" s="1088" t="s">
        <v>396</v>
      </c>
      <c r="I113" s="1088"/>
      <c r="J113" s="1089"/>
      <c r="K113" s="421">
        <f>SUM(K114:K123)</f>
        <v>0</v>
      </c>
      <c r="L113" s="426" t="s">
        <v>844</v>
      </c>
      <c r="M113" s="399"/>
      <c r="N113" s="434"/>
    </row>
    <row r="114" spans="2:14" outlineLevel="5" x14ac:dyDescent="0.2">
      <c r="B114" s="758"/>
      <c r="D114" s="415"/>
      <c r="E114" s="420"/>
      <c r="F114" s="420"/>
      <c r="G114" s="420"/>
      <c r="H114" s="420"/>
      <c r="I114" s="1086" t="s">
        <v>397</v>
      </c>
      <c r="J114" s="1087"/>
      <c r="K114" s="682">
        <v>0</v>
      </c>
      <c r="L114" s="427"/>
      <c r="M114" s="399"/>
      <c r="N114" s="434"/>
    </row>
    <row r="115" spans="2:14" outlineLevel="5" x14ac:dyDescent="0.2">
      <c r="B115" s="758"/>
      <c r="D115" s="415"/>
      <c r="E115" s="420"/>
      <c r="F115" s="420"/>
      <c r="G115" s="420"/>
      <c r="H115" s="420"/>
      <c r="I115" s="1086" t="s">
        <v>398</v>
      </c>
      <c r="J115" s="1087"/>
      <c r="K115" s="682">
        <v>0</v>
      </c>
      <c r="L115" s="427"/>
      <c r="M115" s="399"/>
      <c r="N115" s="434"/>
    </row>
    <row r="116" spans="2:14" outlineLevel="5" x14ac:dyDescent="0.2">
      <c r="B116" s="758"/>
      <c r="D116" s="415"/>
      <c r="E116" s="420"/>
      <c r="F116" s="420"/>
      <c r="G116" s="420"/>
      <c r="H116" s="420"/>
      <c r="I116" s="1086" t="s">
        <v>399</v>
      </c>
      <c r="J116" s="1087"/>
      <c r="K116" s="682">
        <v>0</v>
      </c>
      <c r="L116" s="427"/>
      <c r="M116" s="399"/>
      <c r="N116" s="434"/>
    </row>
    <row r="117" spans="2:14" outlineLevel="5" x14ac:dyDescent="0.2">
      <c r="B117" s="758"/>
      <c r="D117" s="415"/>
      <c r="E117" s="420"/>
      <c r="F117" s="420"/>
      <c r="G117" s="420"/>
      <c r="H117" s="420"/>
      <c r="I117" s="1086" t="s">
        <v>400</v>
      </c>
      <c r="J117" s="1087"/>
      <c r="K117" s="682">
        <v>0</v>
      </c>
      <c r="L117" s="427"/>
      <c r="M117" s="399"/>
      <c r="N117" s="434"/>
    </row>
    <row r="118" spans="2:14" outlineLevel="5" x14ac:dyDescent="0.2">
      <c r="B118" s="758"/>
      <c r="D118" s="415"/>
      <c r="E118" s="420"/>
      <c r="F118" s="420"/>
      <c r="G118" s="420"/>
      <c r="H118" s="420"/>
      <c r="I118" s="1086" t="s">
        <v>401</v>
      </c>
      <c r="J118" s="1087"/>
      <c r="K118" s="682">
        <v>0</v>
      </c>
      <c r="L118" s="427"/>
      <c r="M118" s="399"/>
      <c r="N118" s="434"/>
    </row>
    <row r="119" spans="2:14" outlineLevel="5" x14ac:dyDescent="0.2">
      <c r="B119" s="758"/>
      <c r="D119" s="415"/>
      <c r="E119" s="420"/>
      <c r="F119" s="420"/>
      <c r="G119" s="420"/>
      <c r="H119" s="420"/>
      <c r="I119" s="1086" t="s">
        <v>402</v>
      </c>
      <c r="J119" s="1087"/>
      <c r="K119" s="682">
        <v>0</v>
      </c>
      <c r="L119" s="427"/>
      <c r="M119" s="399"/>
      <c r="N119" s="434"/>
    </row>
    <row r="120" spans="2:14" outlineLevel="5" x14ac:dyDescent="0.2">
      <c r="B120" s="758"/>
      <c r="D120" s="415"/>
      <c r="E120" s="420"/>
      <c r="F120" s="420"/>
      <c r="G120" s="420"/>
      <c r="H120" s="420"/>
      <c r="I120" s="1086" t="s">
        <v>403</v>
      </c>
      <c r="J120" s="1087"/>
      <c r="K120" s="682">
        <v>0</v>
      </c>
      <c r="L120" s="427"/>
      <c r="M120" s="399"/>
      <c r="N120" s="434"/>
    </row>
    <row r="121" spans="2:14" outlineLevel="5" x14ac:dyDescent="0.2">
      <c r="B121" s="758"/>
      <c r="D121" s="415"/>
      <c r="E121" s="420"/>
      <c r="F121" s="420"/>
      <c r="G121" s="420"/>
      <c r="H121" s="420"/>
      <c r="I121" s="1086" t="s">
        <v>404</v>
      </c>
      <c r="J121" s="1087"/>
      <c r="K121" s="682">
        <v>0</v>
      </c>
      <c r="L121" s="427"/>
      <c r="M121" s="399"/>
      <c r="N121" s="434"/>
    </row>
    <row r="122" spans="2:14" outlineLevel="5" x14ac:dyDescent="0.2">
      <c r="B122" s="758"/>
      <c r="D122" s="415"/>
      <c r="E122" s="420"/>
      <c r="F122" s="420"/>
      <c r="G122" s="420"/>
      <c r="H122" s="420"/>
      <c r="I122" s="1086" t="s">
        <v>405</v>
      </c>
      <c r="J122" s="1087"/>
      <c r="K122" s="682">
        <v>0</v>
      </c>
      <c r="L122" s="427"/>
      <c r="M122" s="399"/>
      <c r="N122" s="434"/>
    </row>
    <row r="123" spans="2:14" outlineLevel="5" x14ac:dyDescent="0.2">
      <c r="B123" s="758"/>
      <c r="D123" s="415"/>
      <c r="E123" s="420"/>
      <c r="F123" s="420"/>
      <c r="G123" s="420"/>
      <c r="H123" s="420"/>
      <c r="I123" s="1086" t="s">
        <v>406</v>
      </c>
      <c r="J123" s="1087"/>
      <c r="K123" s="682">
        <v>0</v>
      </c>
      <c r="L123" s="427"/>
      <c r="M123" s="399"/>
      <c r="N123" s="434"/>
    </row>
    <row r="124" spans="2:14" outlineLevel="4" x14ac:dyDescent="0.2">
      <c r="B124" s="758"/>
      <c r="D124" s="415"/>
      <c r="E124" s="420"/>
      <c r="F124" s="420"/>
      <c r="G124" s="420"/>
      <c r="H124" s="1088" t="s">
        <v>407</v>
      </c>
      <c r="I124" s="1088"/>
      <c r="J124" s="1089"/>
      <c r="K124" s="421">
        <f>SUM(K125:K135)</f>
        <v>0</v>
      </c>
      <c r="L124" s="426" t="s">
        <v>845</v>
      </c>
      <c r="M124" s="399"/>
      <c r="N124" s="434"/>
    </row>
    <row r="125" spans="2:14" outlineLevel="5" x14ac:dyDescent="0.2">
      <c r="B125" s="758"/>
      <c r="D125" s="415"/>
      <c r="E125" s="420"/>
      <c r="F125" s="420"/>
      <c r="G125" s="420"/>
      <c r="H125" s="420"/>
      <c r="I125" s="1086" t="s">
        <v>408</v>
      </c>
      <c r="J125" s="1087"/>
      <c r="K125" s="682">
        <v>0</v>
      </c>
      <c r="L125" s="427"/>
      <c r="M125" s="399"/>
      <c r="N125" s="434"/>
    </row>
    <row r="126" spans="2:14" outlineLevel="5" x14ac:dyDescent="0.2">
      <c r="B126" s="758"/>
      <c r="D126" s="415"/>
      <c r="E126" s="420"/>
      <c r="F126" s="420"/>
      <c r="G126" s="420"/>
      <c r="H126" s="420"/>
      <c r="I126" s="1086" t="s">
        <v>409</v>
      </c>
      <c r="J126" s="1087"/>
      <c r="K126" s="682">
        <v>0</v>
      </c>
      <c r="L126" s="427"/>
      <c r="M126" s="399"/>
      <c r="N126" s="434"/>
    </row>
    <row r="127" spans="2:14" outlineLevel="5" x14ac:dyDescent="0.2">
      <c r="B127" s="758"/>
      <c r="D127" s="415"/>
      <c r="E127" s="420"/>
      <c r="F127" s="420"/>
      <c r="G127" s="420"/>
      <c r="H127" s="420"/>
      <c r="I127" s="1086" t="s">
        <v>410</v>
      </c>
      <c r="J127" s="1087"/>
      <c r="K127" s="682">
        <v>0</v>
      </c>
      <c r="L127" s="427"/>
      <c r="M127" s="399"/>
      <c r="N127" s="434"/>
    </row>
    <row r="128" spans="2:14" outlineLevel="5" x14ac:dyDescent="0.2">
      <c r="B128" s="758"/>
      <c r="D128" s="415"/>
      <c r="E128" s="420"/>
      <c r="F128" s="420"/>
      <c r="G128" s="420"/>
      <c r="H128" s="420"/>
      <c r="I128" s="1086" t="s">
        <v>411</v>
      </c>
      <c r="J128" s="1087"/>
      <c r="K128" s="682">
        <v>0</v>
      </c>
      <c r="L128" s="427"/>
      <c r="M128" s="399"/>
      <c r="N128" s="434"/>
    </row>
    <row r="129" spans="2:14" outlineLevel="5" x14ac:dyDescent="0.2">
      <c r="B129" s="758"/>
      <c r="D129" s="415"/>
      <c r="E129" s="420"/>
      <c r="F129" s="420"/>
      <c r="G129" s="420"/>
      <c r="H129" s="420"/>
      <c r="I129" s="1086" t="s">
        <v>412</v>
      </c>
      <c r="J129" s="1087"/>
      <c r="K129" s="682">
        <v>0</v>
      </c>
      <c r="L129" s="427"/>
      <c r="M129" s="399"/>
      <c r="N129" s="434"/>
    </row>
    <row r="130" spans="2:14" outlineLevel="5" x14ac:dyDescent="0.2">
      <c r="B130" s="758"/>
      <c r="D130" s="415"/>
      <c r="E130" s="420"/>
      <c r="F130" s="420"/>
      <c r="G130" s="420"/>
      <c r="H130" s="420"/>
      <c r="I130" s="1086" t="s">
        <v>413</v>
      </c>
      <c r="J130" s="1087"/>
      <c r="K130" s="682">
        <v>0</v>
      </c>
      <c r="L130" s="427"/>
      <c r="M130" s="399"/>
      <c r="N130" s="434"/>
    </row>
    <row r="131" spans="2:14" outlineLevel="5" x14ac:dyDescent="0.2">
      <c r="B131" s="758"/>
      <c r="D131" s="415"/>
      <c r="E131" s="420"/>
      <c r="F131" s="420"/>
      <c r="G131" s="420"/>
      <c r="H131" s="420"/>
      <c r="I131" s="1086" t="s">
        <v>414</v>
      </c>
      <c r="J131" s="1087"/>
      <c r="K131" s="682">
        <v>0</v>
      </c>
      <c r="L131" s="427"/>
      <c r="M131" s="399"/>
      <c r="N131" s="434"/>
    </row>
    <row r="132" spans="2:14" outlineLevel="5" x14ac:dyDescent="0.2">
      <c r="B132" s="758"/>
      <c r="D132" s="415"/>
      <c r="E132" s="420"/>
      <c r="F132" s="420"/>
      <c r="G132" s="420"/>
      <c r="H132" s="420"/>
      <c r="I132" s="1086" t="s">
        <v>415</v>
      </c>
      <c r="J132" s="1087"/>
      <c r="K132" s="682">
        <v>0</v>
      </c>
      <c r="L132" s="427"/>
      <c r="M132" s="399"/>
      <c r="N132" s="434"/>
    </row>
    <row r="133" spans="2:14" outlineLevel="5" x14ac:dyDescent="0.2">
      <c r="B133" s="758"/>
      <c r="D133" s="415"/>
      <c r="E133" s="420"/>
      <c r="F133" s="420"/>
      <c r="G133" s="420"/>
      <c r="H133" s="420"/>
      <c r="I133" s="1086" t="s">
        <v>416</v>
      </c>
      <c r="J133" s="1087"/>
      <c r="K133" s="682">
        <v>0</v>
      </c>
      <c r="L133" s="427"/>
      <c r="M133" s="399"/>
      <c r="N133" s="434"/>
    </row>
    <row r="134" spans="2:14" outlineLevel="5" x14ac:dyDescent="0.2">
      <c r="B134" s="758"/>
      <c r="D134" s="415"/>
      <c r="E134" s="420"/>
      <c r="F134" s="420"/>
      <c r="G134" s="420"/>
      <c r="H134" s="420"/>
      <c r="I134" s="1086" t="s">
        <v>417</v>
      </c>
      <c r="J134" s="1087"/>
      <c r="K134" s="682">
        <v>0</v>
      </c>
      <c r="L134" s="427"/>
      <c r="M134" s="399"/>
      <c r="N134" s="434"/>
    </row>
    <row r="135" spans="2:14" outlineLevel="5" x14ac:dyDescent="0.2">
      <c r="B135" s="758"/>
      <c r="D135" s="415"/>
      <c r="E135" s="420"/>
      <c r="F135" s="420"/>
      <c r="G135" s="420"/>
      <c r="H135" s="420"/>
      <c r="I135" s="1086" t="s">
        <v>418</v>
      </c>
      <c r="J135" s="1087"/>
      <c r="K135" s="682">
        <v>0</v>
      </c>
      <c r="L135" s="427"/>
      <c r="M135" s="399"/>
      <c r="N135" s="434"/>
    </row>
    <row r="136" spans="2:14" outlineLevel="3" x14ac:dyDescent="0.2">
      <c r="B136" s="758"/>
      <c r="D136" s="415"/>
      <c r="E136" s="420"/>
      <c r="F136" s="420"/>
      <c r="G136" s="1088" t="s">
        <v>419</v>
      </c>
      <c r="H136" s="1088"/>
      <c r="I136" s="1088"/>
      <c r="J136" s="1089"/>
      <c r="K136" s="421">
        <f>SUM(K137,K138,K141,K142,K150,K155,K156)</f>
        <v>0</v>
      </c>
      <c r="L136" s="426" t="s">
        <v>846</v>
      </c>
      <c r="M136" s="399"/>
      <c r="N136" s="434"/>
    </row>
    <row r="137" spans="2:14" outlineLevel="4" x14ac:dyDescent="0.2">
      <c r="B137" s="758"/>
      <c r="D137" s="415"/>
      <c r="E137" s="420"/>
      <c r="F137" s="420"/>
      <c r="G137" s="420"/>
      <c r="H137" s="1086" t="s">
        <v>420</v>
      </c>
      <c r="I137" s="1086"/>
      <c r="J137" s="1087"/>
      <c r="K137" s="682">
        <v>0</v>
      </c>
      <c r="L137" s="427"/>
      <c r="M137" s="399"/>
      <c r="N137" s="434"/>
    </row>
    <row r="138" spans="2:14" outlineLevel="4" x14ac:dyDescent="0.2">
      <c r="B138" s="758"/>
      <c r="D138" s="415"/>
      <c r="E138" s="420"/>
      <c r="F138" s="420"/>
      <c r="G138" s="420"/>
      <c r="H138" s="1086" t="s">
        <v>421</v>
      </c>
      <c r="I138" s="1086"/>
      <c r="J138" s="1087"/>
      <c r="K138" s="421">
        <f>SUM(K139:K140)</f>
        <v>0</v>
      </c>
      <c r="L138" s="426" t="s">
        <v>847</v>
      </c>
      <c r="M138" s="399"/>
      <c r="N138" s="434"/>
    </row>
    <row r="139" spans="2:14" outlineLevel="5" x14ac:dyDescent="0.2">
      <c r="B139" s="758"/>
      <c r="D139" s="415"/>
      <c r="E139" s="420"/>
      <c r="F139" s="420"/>
      <c r="G139" s="420"/>
      <c r="H139" s="420"/>
      <c r="I139" s="1086" t="s">
        <v>422</v>
      </c>
      <c r="J139" s="1087"/>
      <c r="K139" s="682">
        <v>0</v>
      </c>
      <c r="L139" s="427"/>
      <c r="M139" s="399"/>
      <c r="N139" s="434"/>
    </row>
    <row r="140" spans="2:14" outlineLevel="5" x14ac:dyDescent="0.2">
      <c r="B140" s="758"/>
      <c r="D140" s="415"/>
      <c r="E140" s="420"/>
      <c r="F140" s="420"/>
      <c r="G140" s="420"/>
      <c r="H140" s="420"/>
      <c r="I140" s="1086" t="s">
        <v>423</v>
      </c>
      <c r="J140" s="1087"/>
      <c r="K140" s="682">
        <v>0</v>
      </c>
      <c r="L140" s="427"/>
      <c r="M140" s="399"/>
      <c r="N140" s="434"/>
    </row>
    <row r="141" spans="2:14" outlineLevel="4" x14ac:dyDescent="0.2">
      <c r="B141" s="758"/>
      <c r="D141" s="415"/>
      <c r="E141" s="420"/>
      <c r="F141" s="420"/>
      <c r="G141" s="420"/>
      <c r="H141" s="1088" t="s">
        <v>424</v>
      </c>
      <c r="I141" s="1088"/>
      <c r="J141" s="1089"/>
      <c r="K141" s="682">
        <v>0</v>
      </c>
      <c r="L141" s="427"/>
      <c r="M141" s="399"/>
      <c r="N141" s="434"/>
    </row>
    <row r="142" spans="2:14" outlineLevel="4" x14ac:dyDescent="0.2">
      <c r="B142" s="758"/>
      <c r="D142" s="415"/>
      <c r="E142" s="420"/>
      <c r="F142" s="420"/>
      <c r="G142" s="420"/>
      <c r="H142" s="1086" t="s">
        <v>425</v>
      </c>
      <c r="I142" s="1086"/>
      <c r="J142" s="1087"/>
      <c r="K142" s="421">
        <f>SUM(K143:K149)</f>
        <v>0</v>
      </c>
      <c r="L142" s="426" t="s">
        <v>848</v>
      </c>
      <c r="M142" s="399"/>
      <c r="N142" s="434"/>
    </row>
    <row r="143" spans="2:14" outlineLevel="5" x14ac:dyDescent="0.2">
      <c r="B143" s="758"/>
      <c r="D143" s="415"/>
      <c r="E143" s="420"/>
      <c r="F143" s="420"/>
      <c r="G143" s="420"/>
      <c r="H143" s="420"/>
      <c r="I143" s="1086" t="s">
        <v>426</v>
      </c>
      <c r="J143" s="1087"/>
      <c r="K143" s="682">
        <v>0</v>
      </c>
      <c r="L143" s="427"/>
      <c r="M143" s="399"/>
      <c r="N143" s="434"/>
    </row>
    <row r="144" spans="2:14" outlineLevel="5" x14ac:dyDescent="0.2">
      <c r="B144" s="758"/>
      <c r="D144" s="415"/>
      <c r="E144" s="420"/>
      <c r="F144" s="420"/>
      <c r="G144" s="420"/>
      <c r="H144" s="420"/>
      <c r="I144" s="1086" t="s">
        <v>427</v>
      </c>
      <c r="J144" s="1087"/>
      <c r="K144" s="682">
        <v>0</v>
      </c>
      <c r="L144" s="427"/>
      <c r="M144" s="399"/>
      <c r="N144" s="434"/>
    </row>
    <row r="145" spans="2:14" outlineLevel="5" x14ac:dyDescent="0.2">
      <c r="B145" s="758"/>
      <c r="D145" s="415"/>
      <c r="E145" s="420"/>
      <c r="F145" s="420"/>
      <c r="G145" s="420"/>
      <c r="H145" s="420"/>
      <c r="I145" s="1086" t="s">
        <v>428</v>
      </c>
      <c r="J145" s="1087"/>
      <c r="K145" s="682">
        <v>0</v>
      </c>
      <c r="L145" s="427"/>
      <c r="M145" s="399"/>
      <c r="N145" s="434"/>
    </row>
    <row r="146" spans="2:14" outlineLevel="5" x14ac:dyDescent="0.2">
      <c r="B146" s="758"/>
      <c r="D146" s="415"/>
      <c r="E146" s="420"/>
      <c r="F146" s="420"/>
      <c r="G146" s="420"/>
      <c r="H146" s="420"/>
      <c r="I146" s="1086" t="s">
        <v>429</v>
      </c>
      <c r="J146" s="1087"/>
      <c r="K146" s="682">
        <v>0</v>
      </c>
      <c r="L146" s="427"/>
      <c r="M146" s="399"/>
      <c r="N146" s="434"/>
    </row>
    <row r="147" spans="2:14" outlineLevel="5" x14ac:dyDescent="0.2">
      <c r="B147" s="758"/>
      <c r="D147" s="415"/>
      <c r="E147" s="420"/>
      <c r="F147" s="420"/>
      <c r="G147" s="420"/>
      <c r="H147" s="420"/>
      <c r="I147" s="1086" t="s">
        <v>430</v>
      </c>
      <c r="J147" s="1087"/>
      <c r="K147" s="682">
        <v>0</v>
      </c>
      <c r="L147" s="427"/>
      <c r="M147" s="399"/>
      <c r="N147" s="434"/>
    </row>
    <row r="148" spans="2:14" outlineLevel="5" x14ac:dyDescent="0.2">
      <c r="B148" s="758"/>
      <c r="D148" s="415"/>
      <c r="E148" s="420"/>
      <c r="F148" s="420"/>
      <c r="G148" s="420"/>
      <c r="H148" s="420"/>
      <c r="I148" s="1086" t="s">
        <v>431</v>
      </c>
      <c r="J148" s="1087"/>
      <c r="K148" s="682">
        <v>0</v>
      </c>
      <c r="L148" s="427"/>
      <c r="M148" s="399"/>
      <c r="N148" s="434"/>
    </row>
    <row r="149" spans="2:14" outlineLevel="5" x14ac:dyDescent="0.2">
      <c r="B149" s="758"/>
      <c r="D149" s="415"/>
      <c r="E149" s="420"/>
      <c r="F149" s="420"/>
      <c r="G149" s="420"/>
      <c r="H149" s="420"/>
      <c r="I149" s="1086" t="s">
        <v>432</v>
      </c>
      <c r="J149" s="1087"/>
      <c r="K149" s="682">
        <v>0</v>
      </c>
      <c r="L149" s="427"/>
      <c r="M149" s="399"/>
      <c r="N149" s="434"/>
    </row>
    <row r="150" spans="2:14" outlineLevel="4" x14ac:dyDescent="0.2">
      <c r="B150" s="758"/>
      <c r="D150" s="415"/>
      <c r="E150" s="420"/>
      <c r="F150" s="420"/>
      <c r="G150" s="420"/>
      <c r="H150" s="1088" t="s">
        <v>433</v>
      </c>
      <c r="I150" s="1088"/>
      <c r="J150" s="1089"/>
      <c r="K150" s="421">
        <f>SUM(K151:K154)</f>
        <v>0</v>
      </c>
      <c r="L150" s="426" t="s">
        <v>849</v>
      </c>
      <c r="M150" s="399"/>
      <c r="N150" s="434"/>
    </row>
    <row r="151" spans="2:14" outlineLevel="5" x14ac:dyDescent="0.2">
      <c r="B151" s="758"/>
      <c r="D151" s="415"/>
      <c r="E151" s="420"/>
      <c r="F151" s="420"/>
      <c r="G151" s="420"/>
      <c r="H151" s="420"/>
      <c r="I151" s="1086" t="s">
        <v>434</v>
      </c>
      <c r="J151" s="1087"/>
      <c r="K151" s="682">
        <v>0</v>
      </c>
      <c r="L151" s="427"/>
      <c r="M151" s="399"/>
      <c r="N151" s="434"/>
    </row>
    <row r="152" spans="2:14" outlineLevel="5" x14ac:dyDescent="0.2">
      <c r="B152" s="758"/>
      <c r="D152" s="415"/>
      <c r="E152" s="420"/>
      <c r="F152" s="420"/>
      <c r="G152" s="420"/>
      <c r="H152" s="420"/>
      <c r="I152" s="1086" t="s">
        <v>435</v>
      </c>
      <c r="J152" s="1087"/>
      <c r="K152" s="682">
        <v>0</v>
      </c>
      <c r="L152" s="427"/>
      <c r="M152" s="399"/>
      <c r="N152" s="434"/>
    </row>
    <row r="153" spans="2:14" outlineLevel="5" x14ac:dyDescent="0.2">
      <c r="B153" s="758"/>
      <c r="D153" s="415"/>
      <c r="E153" s="420"/>
      <c r="F153" s="420"/>
      <c r="G153" s="420"/>
      <c r="H153" s="420"/>
      <c r="I153" s="1086" t="s">
        <v>436</v>
      </c>
      <c r="J153" s="1087"/>
      <c r="K153" s="682">
        <v>0</v>
      </c>
      <c r="L153" s="427"/>
      <c r="M153" s="399"/>
      <c r="N153" s="434"/>
    </row>
    <row r="154" spans="2:14" outlineLevel="5" x14ac:dyDescent="0.2">
      <c r="B154" s="758"/>
      <c r="D154" s="415"/>
      <c r="E154" s="420"/>
      <c r="F154" s="420"/>
      <c r="G154" s="420"/>
      <c r="H154" s="420"/>
      <c r="I154" s="1086" t="s">
        <v>437</v>
      </c>
      <c r="J154" s="1087"/>
      <c r="K154" s="682">
        <v>0</v>
      </c>
      <c r="L154" s="427"/>
      <c r="M154" s="399"/>
      <c r="N154" s="434"/>
    </row>
    <row r="155" spans="2:14" outlineLevel="4" x14ac:dyDescent="0.2">
      <c r="B155" s="758"/>
      <c r="D155" s="415"/>
      <c r="E155" s="420"/>
      <c r="F155" s="420"/>
      <c r="G155" s="420"/>
      <c r="H155" s="1088" t="s">
        <v>438</v>
      </c>
      <c r="I155" s="1088"/>
      <c r="J155" s="1089"/>
      <c r="K155" s="682">
        <v>0</v>
      </c>
      <c r="L155" s="427"/>
      <c r="M155" s="399"/>
      <c r="N155" s="434"/>
    </row>
    <row r="156" spans="2:14" outlineLevel="4" x14ac:dyDescent="0.2">
      <c r="B156" s="758"/>
      <c r="D156" s="415"/>
      <c r="E156" s="420"/>
      <c r="F156" s="420"/>
      <c r="G156" s="420"/>
      <c r="H156" s="1086" t="s">
        <v>439</v>
      </c>
      <c r="I156" s="1086"/>
      <c r="J156" s="1087"/>
      <c r="K156" s="682">
        <v>0</v>
      </c>
      <c r="L156" s="427"/>
      <c r="M156" s="399"/>
      <c r="N156" s="434"/>
    </row>
    <row r="157" spans="2:14" outlineLevel="3" x14ac:dyDescent="0.2">
      <c r="B157" s="758"/>
      <c r="D157" s="415"/>
      <c r="E157" s="420"/>
      <c r="F157" s="420"/>
      <c r="G157" s="1088" t="s">
        <v>440</v>
      </c>
      <c r="H157" s="1088"/>
      <c r="I157" s="1088"/>
      <c r="J157" s="1089"/>
      <c r="K157" s="421">
        <f>SUM(K158:K161,K165)</f>
        <v>0</v>
      </c>
      <c r="L157" s="426" t="s">
        <v>850</v>
      </c>
      <c r="M157" s="399"/>
      <c r="N157" s="434"/>
    </row>
    <row r="158" spans="2:14" outlineLevel="4" x14ac:dyDescent="0.2">
      <c r="B158" s="758"/>
      <c r="D158" s="415"/>
      <c r="E158" s="420"/>
      <c r="F158" s="420"/>
      <c r="G158" s="420"/>
      <c r="H158" s="1086" t="s">
        <v>441</v>
      </c>
      <c r="I158" s="1086"/>
      <c r="J158" s="1087"/>
      <c r="K158" s="682">
        <v>0</v>
      </c>
      <c r="L158" s="427"/>
      <c r="M158" s="399"/>
      <c r="N158" s="434"/>
    </row>
    <row r="159" spans="2:14" outlineLevel="4" x14ac:dyDescent="0.2">
      <c r="B159" s="758"/>
      <c r="D159" s="415"/>
      <c r="E159" s="420"/>
      <c r="F159" s="420"/>
      <c r="G159" s="420"/>
      <c r="H159" s="1086" t="s">
        <v>442</v>
      </c>
      <c r="I159" s="1086"/>
      <c r="J159" s="1087"/>
      <c r="K159" s="682">
        <v>0</v>
      </c>
      <c r="L159" s="427"/>
      <c r="M159" s="399"/>
      <c r="N159" s="434"/>
    </row>
    <row r="160" spans="2:14" outlineLevel="4" x14ac:dyDescent="0.2">
      <c r="B160" s="758"/>
      <c r="D160" s="415"/>
      <c r="E160" s="420"/>
      <c r="F160" s="420"/>
      <c r="G160" s="420"/>
      <c r="H160" s="1086" t="s">
        <v>443</v>
      </c>
      <c r="I160" s="1086"/>
      <c r="J160" s="1087"/>
      <c r="K160" s="682">
        <v>0</v>
      </c>
      <c r="L160" s="427"/>
      <c r="M160" s="399"/>
      <c r="N160" s="434"/>
    </row>
    <row r="161" spans="2:14" outlineLevel="4" x14ac:dyDescent="0.2">
      <c r="B161" s="758"/>
      <c r="D161" s="415"/>
      <c r="E161" s="420"/>
      <c r="F161" s="420"/>
      <c r="G161" s="420"/>
      <c r="H161" s="1086" t="s">
        <v>444</v>
      </c>
      <c r="I161" s="1086"/>
      <c r="J161" s="1087"/>
      <c r="K161" s="421">
        <f>SUM(K162:K164)</f>
        <v>0</v>
      </c>
      <c r="L161" s="426" t="s">
        <v>851</v>
      </c>
      <c r="M161" s="399"/>
      <c r="N161" s="434"/>
    </row>
    <row r="162" spans="2:14" outlineLevel="5" x14ac:dyDescent="0.2">
      <c r="B162" s="758"/>
      <c r="D162" s="415"/>
      <c r="E162" s="420"/>
      <c r="F162" s="420"/>
      <c r="G162" s="420"/>
      <c r="H162" s="420"/>
      <c r="I162" s="1086" t="s">
        <v>445</v>
      </c>
      <c r="J162" s="1087"/>
      <c r="K162" s="682">
        <v>0</v>
      </c>
      <c r="L162" s="427"/>
      <c r="M162" s="399"/>
      <c r="N162" s="434"/>
    </row>
    <row r="163" spans="2:14" outlineLevel="5" x14ac:dyDescent="0.2">
      <c r="B163" s="758"/>
      <c r="D163" s="415"/>
      <c r="E163" s="420"/>
      <c r="F163" s="420"/>
      <c r="G163" s="420"/>
      <c r="H163" s="420"/>
      <c r="I163" s="1086" t="s">
        <v>446</v>
      </c>
      <c r="J163" s="1087"/>
      <c r="K163" s="682">
        <v>0</v>
      </c>
      <c r="L163" s="427"/>
      <c r="M163" s="399"/>
      <c r="N163" s="434"/>
    </row>
    <row r="164" spans="2:14" outlineLevel="5" x14ac:dyDescent="0.2">
      <c r="B164" s="758"/>
      <c r="D164" s="415"/>
      <c r="E164" s="420"/>
      <c r="F164" s="420"/>
      <c r="G164" s="420"/>
      <c r="H164" s="420"/>
      <c r="I164" s="1086" t="s">
        <v>447</v>
      </c>
      <c r="J164" s="1087"/>
      <c r="K164" s="682">
        <v>0</v>
      </c>
      <c r="L164" s="427"/>
      <c r="M164" s="399"/>
      <c r="N164" s="434"/>
    </row>
    <row r="165" spans="2:14" outlineLevel="4" x14ac:dyDescent="0.2">
      <c r="B165" s="758"/>
      <c r="D165" s="415"/>
      <c r="E165" s="420"/>
      <c r="F165" s="420"/>
      <c r="G165" s="420"/>
      <c r="H165" s="1088" t="s">
        <v>448</v>
      </c>
      <c r="I165" s="1088"/>
      <c r="J165" s="1089"/>
      <c r="K165" s="682">
        <v>0</v>
      </c>
      <c r="L165" s="427"/>
      <c r="M165" s="399"/>
      <c r="N165" s="434"/>
    </row>
    <row r="166" spans="2:14" s="89" customFormat="1" outlineLevel="2" x14ac:dyDescent="0.2">
      <c r="B166" s="758"/>
      <c r="D166" s="415"/>
      <c r="E166" s="420"/>
      <c r="F166" s="1088" t="s">
        <v>449</v>
      </c>
      <c r="G166" s="1088"/>
      <c r="H166" s="1088"/>
      <c r="I166" s="1088"/>
      <c r="J166" s="1089"/>
      <c r="K166" s="682">
        <v>0</v>
      </c>
      <c r="L166" s="427"/>
      <c r="M166" s="399"/>
      <c r="N166" s="433"/>
    </row>
    <row r="167" spans="2:14" s="89" customFormat="1" outlineLevel="2" x14ac:dyDescent="0.2">
      <c r="B167" s="758"/>
      <c r="D167" s="415"/>
      <c r="E167" s="420"/>
      <c r="F167" s="1086" t="s">
        <v>450</v>
      </c>
      <c r="G167" s="1086"/>
      <c r="H167" s="1086"/>
      <c r="I167" s="1086"/>
      <c r="J167" s="1087"/>
      <c r="K167" s="421">
        <f>SUM(K168,K174:K176)</f>
        <v>0</v>
      </c>
      <c r="L167" s="426" t="s">
        <v>852</v>
      </c>
      <c r="M167" s="399"/>
      <c r="N167" s="433"/>
    </row>
    <row r="168" spans="2:14" outlineLevel="3" x14ac:dyDescent="0.2">
      <c r="B168" s="758"/>
      <c r="D168" s="415"/>
      <c r="E168" s="420"/>
      <c r="F168" s="420"/>
      <c r="G168" s="1086" t="s">
        <v>451</v>
      </c>
      <c r="H168" s="1086"/>
      <c r="I168" s="1086"/>
      <c r="J168" s="1087"/>
      <c r="K168" s="421">
        <f>SUM(K169:K173)</f>
        <v>0</v>
      </c>
      <c r="L168" s="426" t="s">
        <v>853</v>
      </c>
      <c r="M168" s="399"/>
      <c r="N168" s="434"/>
    </row>
    <row r="169" spans="2:14" outlineLevel="4" x14ac:dyDescent="0.2">
      <c r="B169" s="758"/>
      <c r="D169" s="415"/>
      <c r="E169" s="420"/>
      <c r="F169" s="420"/>
      <c r="G169" s="420"/>
      <c r="H169" s="1086" t="s">
        <v>452</v>
      </c>
      <c r="I169" s="1086"/>
      <c r="J169" s="1087"/>
      <c r="K169" s="682">
        <v>0</v>
      </c>
      <c r="L169" s="427"/>
      <c r="M169" s="399"/>
      <c r="N169" s="434"/>
    </row>
    <row r="170" spans="2:14" outlineLevel="4" x14ac:dyDescent="0.2">
      <c r="B170" s="758"/>
      <c r="D170" s="415"/>
      <c r="E170" s="420"/>
      <c r="F170" s="420"/>
      <c r="G170" s="420"/>
      <c r="H170" s="1086" t="s">
        <v>453</v>
      </c>
      <c r="I170" s="1086"/>
      <c r="J170" s="1087"/>
      <c r="K170" s="682">
        <v>0</v>
      </c>
      <c r="L170" s="427"/>
      <c r="M170" s="399"/>
      <c r="N170" s="434"/>
    </row>
    <row r="171" spans="2:14" outlineLevel="4" x14ac:dyDescent="0.2">
      <c r="B171" s="758"/>
      <c r="D171" s="415"/>
      <c r="E171" s="420"/>
      <c r="F171" s="420"/>
      <c r="G171" s="420"/>
      <c r="H171" s="1086" t="s">
        <v>454</v>
      </c>
      <c r="I171" s="1086"/>
      <c r="J171" s="1087"/>
      <c r="K171" s="682">
        <v>0</v>
      </c>
      <c r="L171" s="427"/>
      <c r="M171" s="399"/>
      <c r="N171" s="434"/>
    </row>
    <row r="172" spans="2:14" outlineLevel="4" x14ac:dyDescent="0.2">
      <c r="B172" s="758"/>
      <c r="D172" s="415"/>
      <c r="E172" s="420"/>
      <c r="F172" s="420"/>
      <c r="G172" s="420"/>
      <c r="H172" s="1086" t="s">
        <v>455</v>
      </c>
      <c r="I172" s="1086"/>
      <c r="J172" s="1087"/>
      <c r="K172" s="682">
        <v>0</v>
      </c>
      <c r="L172" s="427"/>
      <c r="M172" s="399"/>
      <c r="N172" s="434"/>
    </row>
    <row r="173" spans="2:14" outlineLevel="4" x14ac:dyDescent="0.2">
      <c r="B173" s="758"/>
      <c r="D173" s="415"/>
      <c r="E173" s="420"/>
      <c r="F173" s="420"/>
      <c r="G173" s="420"/>
      <c r="H173" s="1086" t="s">
        <v>456</v>
      </c>
      <c r="I173" s="1086"/>
      <c r="J173" s="1087"/>
      <c r="K173" s="682">
        <v>0</v>
      </c>
      <c r="L173" s="427"/>
      <c r="M173" s="399"/>
      <c r="N173" s="434"/>
    </row>
    <row r="174" spans="2:14" outlineLevel="3" x14ac:dyDescent="0.2">
      <c r="B174" s="758"/>
      <c r="D174" s="415"/>
      <c r="E174" s="420"/>
      <c r="F174" s="420"/>
      <c r="G174" s="1088" t="s">
        <v>457</v>
      </c>
      <c r="H174" s="1088"/>
      <c r="I174" s="1088"/>
      <c r="J174" s="1089"/>
      <c r="K174" s="682">
        <v>0</v>
      </c>
      <c r="L174" s="427"/>
      <c r="M174" s="399"/>
      <c r="N174" s="434"/>
    </row>
    <row r="175" spans="2:14" outlineLevel="3" x14ac:dyDescent="0.2">
      <c r="B175" s="758"/>
      <c r="D175" s="415"/>
      <c r="E175" s="420"/>
      <c r="F175" s="420"/>
      <c r="G175" s="1086" t="s">
        <v>458</v>
      </c>
      <c r="H175" s="1086"/>
      <c r="I175" s="1086"/>
      <c r="J175" s="1087"/>
      <c r="K175" s="682">
        <v>0</v>
      </c>
      <c r="L175" s="427"/>
      <c r="M175" s="399"/>
      <c r="N175" s="434"/>
    </row>
    <row r="176" spans="2:14" ht="48" outlineLevel="3" x14ac:dyDescent="0.2">
      <c r="B176" s="758"/>
      <c r="D176" s="415"/>
      <c r="E176" s="420"/>
      <c r="F176" s="420"/>
      <c r="G176" s="1086" t="s">
        <v>459</v>
      </c>
      <c r="H176" s="1086"/>
      <c r="I176" s="1086"/>
      <c r="J176" s="1087"/>
      <c r="K176" s="421">
        <f>SUM(K177:K179)</f>
        <v>0</v>
      </c>
      <c r="L176" s="426" t="s">
        <v>854</v>
      </c>
      <c r="M176" s="399" t="s">
        <v>657</v>
      </c>
      <c r="N176" s="434"/>
    </row>
    <row r="177" spans="2:14" outlineLevel="4" x14ac:dyDescent="0.2">
      <c r="B177" s="758"/>
      <c r="D177" s="415"/>
      <c r="E177" s="420"/>
      <c r="F177" s="420"/>
      <c r="G177" s="420"/>
      <c r="H177" s="1086" t="s">
        <v>460</v>
      </c>
      <c r="I177" s="1086"/>
      <c r="J177" s="1087"/>
      <c r="K177" s="682">
        <v>0</v>
      </c>
      <c r="L177" s="427"/>
      <c r="M177" s="399"/>
      <c r="N177" s="434"/>
    </row>
    <row r="178" spans="2:14" outlineLevel="4" x14ac:dyDescent="0.2">
      <c r="B178" s="758"/>
      <c r="D178" s="415"/>
      <c r="E178" s="420"/>
      <c r="F178" s="420"/>
      <c r="G178" s="420"/>
      <c r="H178" s="1086" t="s">
        <v>461</v>
      </c>
      <c r="I178" s="1086"/>
      <c r="J178" s="1087"/>
      <c r="K178" s="682">
        <v>0</v>
      </c>
      <c r="L178" s="427"/>
      <c r="M178" s="399"/>
      <c r="N178" s="434"/>
    </row>
    <row r="179" spans="2:14" outlineLevel="4" x14ac:dyDescent="0.2">
      <c r="B179" s="758"/>
      <c r="D179" s="415"/>
      <c r="E179" s="420"/>
      <c r="F179" s="420"/>
      <c r="G179" s="420"/>
      <c r="H179" s="1086" t="s">
        <v>462</v>
      </c>
      <c r="I179" s="1086"/>
      <c r="J179" s="1087"/>
      <c r="K179" s="682">
        <v>0</v>
      </c>
      <c r="L179" s="427"/>
      <c r="M179" s="399"/>
      <c r="N179" s="434"/>
    </row>
    <row r="180" spans="2:14" s="89" customFormat="1" ht="32" outlineLevel="2" x14ac:dyDescent="0.2">
      <c r="B180" s="758"/>
      <c r="D180" s="415"/>
      <c r="E180" s="420"/>
      <c r="F180" s="1088" t="s">
        <v>463</v>
      </c>
      <c r="G180" s="1088"/>
      <c r="H180" s="1088"/>
      <c r="I180" s="1088"/>
      <c r="J180" s="1089"/>
      <c r="K180" s="421">
        <f>SUM(K181,K186,K189,K207,K211)</f>
        <v>6480</v>
      </c>
      <c r="L180" s="426" t="s">
        <v>855</v>
      </c>
      <c r="M180" s="399" t="s">
        <v>661</v>
      </c>
      <c r="N180" s="433"/>
    </row>
    <row r="181" spans="2:14" outlineLevel="3" x14ac:dyDescent="0.2">
      <c r="B181" s="758"/>
      <c r="D181" s="415"/>
      <c r="E181" s="420"/>
      <c r="F181" s="420"/>
      <c r="G181" s="1086" t="s">
        <v>464</v>
      </c>
      <c r="H181" s="1086"/>
      <c r="I181" s="1086"/>
      <c r="J181" s="1087"/>
      <c r="K181" s="421">
        <f>SUM(K182:K185)</f>
        <v>0</v>
      </c>
      <c r="L181" s="426" t="s">
        <v>856</v>
      </c>
      <c r="M181" s="399"/>
      <c r="N181" s="434"/>
    </row>
    <row r="182" spans="2:14" outlineLevel="4" x14ac:dyDescent="0.2">
      <c r="B182" s="758"/>
      <c r="D182" s="415"/>
      <c r="E182" s="420"/>
      <c r="F182" s="420"/>
      <c r="G182" s="420"/>
      <c r="H182" s="1086" t="s">
        <v>465</v>
      </c>
      <c r="I182" s="1086"/>
      <c r="J182" s="1087"/>
      <c r="K182" s="682">
        <v>0</v>
      </c>
      <c r="L182" s="427"/>
      <c r="M182" s="399"/>
      <c r="N182" s="434"/>
    </row>
    <row r="183" spans="2:14" outlineLevel="4" x14ac:dyDescent="0.2">
      <c r="B183" s="758"/>
      <c r="D183" s="415"/>
      <c r="E183" s="420"/>
      <c r="F183" s="420"/>
      <c r="G183" s="420"/>
      <c r="H183" s="1086" t="s">
        <v>466</v>
      </c>
      <c r="I183" s="1086"/>
      <c r="J183" s="1087"/>
      <c r="K183" s="682">
        <v>0</v>
      </c>
      <c r="L183" s="427"/>
      <c r="M183" s="399"/>
      <c r="N183" s="434"/>
    </row>
    <row r="184" spans="2:14" outlineLevel="4" x14ac:dyDescent="0.2">
      <c r="B184" s="758"/>
      <c r="D184" s="415"/>
      <c r="E184" s="420"/>
      <c r="F184" s="420"/>
      <c r="G184" s="420"/>
      <c r="H184" s="1086" t="s">
        <v>468</v>
      </c>
      <c r="I184" s="1086"/>
      <c r="J184" s="1087"/>
      <c r="K184" s="682">
        <v>0</v>
      </c>
      <c r="L184" s="427"/>
      <c r="M184" s="399"/>
      <c r="N184" s="434"/>
    </row>
    <row r="185" spans="2:14" outlineLevel="4" x14ac:dyDescent="0.2">
      <c r="B185" s="758"/>
      <c r="D185" s="415"/>
      <c r="E185" s="420"/>
      <c r="F185" s="420"/>
      <c r="G185" s="420"/>
      <c r="H185" s="1086" t="s">
        <v>467</v>
      </c>
      <c r="I185" s="1086"/>
      <c r="J185" s="1087"/>
      <c r="K185" s="682">
        <v>0</v>
      </c>
      <c r="L185" s="427"/>
      <c r="M185" s="399"/>
      <c r="N185" s="434"/>
    </row>
    <row r="186" spans="2:14" outlineLevel="3" x14ac:dyDescent="0.2">
      <c r="B186" s="758"/>
      <c r="D186" s="415"/>
      <c r="E186" s="420"/>
      <c r="F186" s="420"/>
      <c r="G186" s="1088" t="s">
        <v>867</v>
      </c>
      <c r="H186" s="1088"/>
      <c r="I186" s="1088"/>
      <c r="J186" s="1089"/>
      <c r="K186" s="421">
        <f>SUM(K187:K188)</f>
        <v>6480</v>
      </c>
      <c r="L186" s="426" t="s">
        <v>857</v>
      </c>
      <c r="M186" s="399"/>
      <c r="N186" s="434"/>
    </row>
    <row r="187" spans="2:14" ht="32" outlineLevel="4" x14ac:dyDescent="0.2">
      <c r="B187" s="758"/>
      <c r="D187" s="415"/>
      <c r="E187" s="420"/>
      <c r="F187" s="420"/>
      <c r="G187" s="420"/>
      <c r="H187" s="1086" t="s">
        <v>470</v>
      </c>
      <c r="I187" s="1086"/>
      <c r="J187" s="1087"/>
      <c r="K187" s="682">
        <f>45*24*3</f>
        <v>3240</v>
      </c>
      <c r="L187" s="426" t="s">
        <v>634</v>
      </c>
      <c r="M187" s="399" t="s">
        <v>658</v>
      </c>
      <c r="N187" s="434"/>
    </row>
    <row r="188" spans="2:14" ht="32" outlineLevel="4" x14ac:dyDescent="0.2">
      <c r="B188" s="758"/>
      <c r="D188" s="415"/>
      <c r="E188" s="420"/>
      <c r="F188" s="420"/>
      <c r="G188" s="420"/>
      <c r="H188" s="1086" t="s">
        <v>471</v>
      </c>
      <c r="I188" s="1086"/>
      <c r="J188" s="1087"/>
      <c r="K188" s="682">
        <f>45*24*3</f>
        <v>3240</v>
      </c>
      <c r="L188" s="426" t="s">
        <v>634</v>
      </c>
      <c r="M188" s="399" t="s">
        <v>658</v>
      </c>
      <c r="N188" s="434"/>
    </row>
    <row r="189" spans="2:14" outlineLevel="3" x14ac:dyDescent="0.2">
      <c r="B189" s="758"/>
      <c r="D189" s="415"/>
      <c r="E189" s="420"/>
      <c r="F189" s="420"/>
      <c r="G189" s="1088" t="s">
        <v>472</v>
      </c>
      <c r="H189" s="1088"/>
      <c r="I189" s="1088"/>
      <c r="J189" s="1089"/>
      <c r="K189" s="421">
        <f>SUM(K190,K195,K201,K204)</f>
        <v>0</v>
      </c>
      <c r="L189" s="426" t="s">
        <v>858</v>
      </c>
      <c r="M189" s="399"/>
      <c r="N189" s="434"/>
    </row>
    <row r="190" spans="2:14" outlineLevel="4" x14ac:dyDescent="0.2">
      <c r="B190" s="758"/>
      <c r="D190" s="415"/>
      <c r="E190" s="420"/>
      <c r="F190" s="420"/>
      <c r="G190" s="420"/>
      <c r="H190" s="1086" t="s">
        <v>473</v>
      </c>
      <c r="I190" s="1086"/>
      <c r="J190" s="1087"/>
      <c r="K190" s="421">
        <f>SUM(K191:K194)</f>
        <v>0</v>
      </c>
      <c r="L190" s="426" t="s">
        <v>859</v>
      </c>
      <c r="M190" s="399"/>
      <c r="N190" s="434"/>
    </row>
    <row r="191" spans="2:14" outlineLevel="5" x14ac:dyDescent="0.2">
      <c r="B191" s="758"/>
      <c r="D191" s="415"/>
      <c r="E191" s="420"/>
      <c r="F191" s="420"/>
      <c r="G191" s="420"/>
      <c r="H191" s="420"/>
      <c r="I191" s="1086" t="s">
        <v>474</v>
      </c>
      <c r="J191" s="1087"/>
      <c r="K191" s="682">
        <v>0</v>
      </c>
      <c r="L191" s="427"/>
      <c r="M191" s="399"/>
      <c r="N191" s="434"/>
    </row>
    <row r="192" spans="2:14" outlineLevel="5" x14ac:dyDescent="0.2">
      <c r="B192" s="758"/>
      <c r="D192" s="415"/>
      <c r="E192" s="420"/>
      <c r="F192" s="420"/>
      <c r="G192" s="420"/>
      <c r="H192" s="420"/>
      <c r="I192" s="1086" t="s">
        <v>475</v>
      </c>
      <c r="J192" s="1087"/>
      <c r="K192" s="682">
        <v>0</v>
      </c>
      <c r="L192" s="427"/>
      <c r="M192" s="399"/>
      <c r="N192" s="434"/>
    </row>
    <row r="193" spans="2:14" outlineLevel="5" x14ac:dyDescent="0.2">
      <c r="B193" s="758"/>
      <c r="D193" s="415"/>
      <c r="E193" s="420"/>
      <c r="F193" s="420"/>
      <c r="G193" s="420"/>
      <c r="H193" s="420"/>
      <c r="I193" s="1086" t="s">
        <v>476</v>
      </c>
      <c r="J193" s="1087"/>
      <c r="K193" s="682">
        <v>0</v>
      </c>
      <c r="L193" s="427"/>
      <c r="M193" s="399"/>
      <c r="N193" s="434"/>
    </row>
    <row r="194" spans="2:14" outlineLevel="5" x14ac:dyDescent="0.2">
      <c r="B194" s="758"/>
      <c r="D194" s="415"/>
      <c r="E194" s="420"/>
      <c r="F194" s="420"/>
      <c r="G194" s="420"/>
      <c r="H194" s="420"/>
      <c r="I194" s="1086" t="s">
        <v>477</v>
      </c>
      <c r="J194" s="1087"/>
      <c r="K194" s="682">
        <v>0</v>
      </c>
      <c r="L194" s="427"/>
      <c r="M194" s="399"/>
      <c r="N194" s="434"/>
    </row>
    <row r="195" spans="2:14" outlineLevel="4" x14ac:dyDescent="0.2">
      <c r="B195" s="758"/>
      <c r="D195" s="415"/>
      <c r="E195" s="420"/>
      <c r="F195" s="420"/>
      <c r="G195" s="420"/>
      <c r="H195" s="1088" t="s">
        <v>478</v>
      </c>
      <c r="I195" s="1088"/>
      <c r="J195" s="1089"/>
      <c r="K195" s="421">
        <f>SUM(K196:K200)</f>
        <v>0</v>
      </c>
      <c r="L195" s="426" t="s">
        <v>860</v>
      </c>
      <c r="M195" s="399"/>
      <c r="N195" s="434"/>
    </row>
    <row r="196" spans="2:14" outlineLevel="5" x14ac:dyDescent="0.2">
      <c r="B196" s="758"/>
      <c r="D196" s="415"/>
      <c r="E196" s="420"/>
      <c r="F196" s="420"/>
      <c r="G196" s="420"/>
      <c r="H196" s="420"/>
      <c r="I196" s="1086" t="s">
        <v>479</v>
      </c>
      <c r="J196" s="1087"/>
      <c r="K196" s="682">
        <v>0</v>
      </c>
      <c r="L196" s="427"/>
      <c r="M196" s="399"/>
      <c r="N196" s="434"/>
    </row>
    <row r="197" spans="2:14" outlineLevel="5" x14ac:dyDescent="0.2">
      <c r="B197" s="758"/>
      <c r="D197" s="415"/>
      <c r="E197" s="420"/>
      <c r="F197" s="420"/>
      <c r="G197" s="420"/>
      <c r="H197" s="420"/>
      <c r="I197" s="1086" t="s">
        <v>480</v>
      </c>
      <c r="J197" s="1087"/>
      <c r="K197" s="682">
        <v>0</v>
      </c>
      <c r="L197" s="427"/>
      <c r="M197" s="399"/>
      <c r="N197" s="434"/>
    </row>
    <row r="198" spans="2:14" outlineLevel="5" x14ac:dyDescent="0.2">
      <c r="B198" s="758"/>
      <c r="D198" s="415"/>
      <c r="E198" s="420"/>
      <c r="F198" s="420"/>
      <c r="G198" s="420"/>
      <c r="H198" s="420"/>
      <c r="I198" s="1086" t="s">
        <v>481</v>
      </c>
      <c r="J198" s="1087"/>
      <c r="K198" s="682">
        <v>0</v>
      </c>
      <c r="L198" s="427"/>
      <c r="M198" s="399"/>
      <c r="N198" s="434"/>
    </row>
    <row r="199" spans="2:14" outlineLevel="5" x14ac:dyDescent="0.2">
      <c r="B199" s="758"/>
      <c r="D199" s="415"/>
      <c r="E199" s="420"/>
      <c r="F199" s="420"/>
      <c r="G199" s="420"/>
      <c r="H199" s="420"/>
      <c r="I199" s="1086" t="s">
        <v>482</v>
      </c>
      <c r="J199" s="1087"/>
      <c r="K199" s="682">
        <v>0</v>
      </c>
      <c r="L199" s="427"/>
      <c r="M199" s="399"/>
      <c r="N199" s="434"/>
    </row>
    <row r="200" spans="2:14" outlineLevel="5" x14ac:dyDescent="0.2">
      <c r="B200" s="758"/>
      <c r="D200" s="415"/>
      <c r="E200" s="420"/>
      <c r="F200" s="420"/>
      <c r="G200" s="420"/>
      <c r="H200" s="420"/>
      <c r="I200" s="1086" t="s">
        <v>483</v>
      </c>
      <c r="J200" s="1087"/>
      <c r="K200" s="682">
        <v>0</v>
      </c>
      <c r="L200" s="427"/>
      <c r="M200" s="399"/>
      <c r="N200" s="434"/>
    </row>
    <row r="201" spans="2:14" outlineLevel="4" x14ac:dyDescent="0.2">
      <c r="B201" s="758"/>
      <c r="D201" s="415"/>
      <c r="E201" s="420"/>
      <c r="F201" s="420"/>
      <c r="G201" s="420"/>
      <c r="H201" s="1088" t="s">
        <v>484</v>
      </c>
      <c r="I201" s="1088"/>
      <c r="J201" s="1089"/>
      <c r="K201" s="421">
        <f>SUM(K202:K203)</f>
        <v>0</v>
      </c>
      <c r="L201" s="426" t="s">
        <v>861</v>
      </c>
      <c r="M201" s="399"/>
      <c r="N201" s="434"/>
    </row>
    <row r="202" spans="2:14" outlineLevel="5" x14ac:dyDescent="0.2">
      <c r="B202" s="758"/>
      <c r="D202" s="415"/>
      <c r="E202" s="420"/>
      <c r="F202" s="420"/>
      <c r="G202" s="420"/>
      <c r="H202" s="420"/>
      <c r="I202" s="1086" t="s">
        <v>485</v>
      </c>
      <c r="J202" s="1087"/>
      <c r="K202" s="682">
        <v>0</v>
      </c>
      <c r="L202" s="427"/>
      <c r="M202" s="399"/>
      <c r="N202" s="434"/>
    </row>
    <row r="203" spans="2:14" outlineLevel="5" x14ac:dyDescent="0.2">
      <c r="B203" s="758"/>
      <c r="D203" s="415"/>
      <c r="E203" s="420"/>
      <c r="F203" s="420"/>
      <c r="G203" s="420"/>
      <c r="H203" s="420"/>
      <c r="I203" s="1086" t="s">
        <v>486</v>
      </c>
      <c r="J203" s="1087"/>
      <c r="K203" s="682">
        <v>0</v>
      </c>
      <c r="L203" s="427"/>
      <c r="M203" s="399"/>
      <c r="N203" s="434"/>
    </row>
    <row r="204" spans="2:14" outlineLevel="4" x14ac:dyDescent="0.2">
      <c r="B204" s="758"/>
      <c r="D204" s="415"/>
      <c r="E204" s="420"/>
      <c r="F204" s="420"/>
      <c r="G204" s="420"/>
      <c r="H204" s="1088" t="s">
        <v>487</v>
      </c>
      <c r="I204" s="1088"/>
      <c r="J204" s="1089"/>
      <c r="K204" s="421">
        <f>SUM(K205:K206)</f>
        <v>0</v>
      </c>
      <c r="L204" s="426" t="s">
        <v>862</v>
      </c>
      <c r="M204" s="399"/>
      <c r="N204" s="434"/>
    </row>
    <row r="205" spans="2:14" outlineLevel="5" x14ac:dyDescent="0.2">
      <c r="B205" s="758"/>
      <c r="D205" s="415"/>
      <c r="E205" s="420"/>
      <c r="F205" s="420"/>
      <c r="G205" s="420"/>
      <c r="H205" s="420"/>
      <c r="I205" s="1086" t="s">
        <v>488</v>
      </c>
      <c r="J205" s="1087"/>
      <c r="K205" s="682">
        <v>0</v>
      </c>
      <c r="L205" s="427"/>
      <c r="M205" s="399"/>
      <c r="N205" s="434"/>
    </row>
    <row r="206" spans="2:14" outlineLevel="5" x14ac:dyDescent="0.2">
      <c r="B206" s="758"/>
      <c r="D206" s="415"/>
      <c r="E206" s="420"/>
      <c r="F206" s="420"/>
      <c r="G206" s="420"/>
      <c r="H206" s="420"/>
      <c r="I206" s="1086" t="s">
        <v>489</v>
      </c>
      <c r="J206" s="1087"/>
      <c r="K206" s="682">
        <v>0</v>
      </c>
      <c r="L206" s="427"/>
      <c r="M206" s="399"/>
      <c r="N206" s="434"/>
    </row>
    <row r="207" spans="2:14" outlineLevel="3" x14ac:dyDescent="0.2">
      <c r="B207" s="758"/>
      <c r="D207" s="415"/>
      <c r="E207" s="420"/>
      <c r="F207" s="420"/>
      <c r="G207" s="1088" t="s">
        <v>490</v>
      </c>
      <c r="H207" s="1088"/>
      <c r="I207" s="1088"/>
      <c r="J207" s="1089"/>
      <c r="K207" s="421">
        <f>SUM(K208:K210)</f>
        <v>0</v>
      </c>
      <c r="L207" s="426" t="s">
        <v>863</v>
      </c>
      <c r="M207" s="399"/>
      <c r="N207" s="434"/>
    </row>
    <row r="208" spans="2:14" outlineLevel="4" x14ac:dyDescent="0.2">
      <c r="B208" s="758"/>
      <c r="D208" s="415"/>
      <c r="E208" s="420"/>
      <c r="F208" s="420"/>
      <c r="G208" s="420"/>
      <c r="H208" s="1086" t="s">
        <v>491</v>
      </c>
      <c r="I208" s="1086"/>
      <c r="J208" s="1087"/>
      <c r="K208" s="682">
        <v>0</v>
      </c>
      <c r="L208" s="427"/>
      <c r="M208" s="399"/>
      <c r="N208" s="434"/>
    </row>
    <row r="209" spans="2:15" outlineLevel="4" x14ac:dyDescent="0.2">
      <c r="B209" s="758"/>
      <c r="D209" s="415"/>
      <c r="E209" s="420"/>
      <c r="F209" s="420"/>
      <c r="G209" s="420"/>
      <c r="H209" s="1086" t="s">
        <v>492</v>
      </c>
      <c r="I209" s="1086"/>
      <c r="J209" s="1087"/>
      <c r="K209" s="682">
        <v>0</v>
      </c>
      <c r="L209" s="427"/>
      <c r="M209" s="399"/>
      <c r="N209" s="434"/>
    </row>
    <row r="210" spans="2:15" outlineLevel="4" x14ac:dyDescent="0.2">
      <c r="B210" s="758"/>
      <c r="D210" s="415"/>
      <c r="E210" s="420"/>
      <c r="F210" s="420"/>
      <c r="G210" s="420"/>
      <c r="H210" s="1086" t="s">
        <v>493</v>
      </c>
      <c r="I210" s="1086"/>
      <c r="J210" s="1087"/>
      <c r="K210" s="682">
        <v>0</v>
      </c>
      <c r="L210" s="427"/>
      <c r="M210" s="399"/>
      <c r="N210" s="434"/>
    </row>
    <row r="211" spans="2:15" ht="32" outlineLevel="3" x14ac:dyDescent="0.2">
      <c r="B211" s="758"/>
      <c r="D211" s="415"/>
      <c r="E211" s="420"/>
      <c r="F211" s="420"/>
      <c r="G211" s="1088" t="s">
        <v>494</v>
      </c>
      <c r="H211" s="1088"/>
      <c r="I211" s="1088"/>
      <c r="J211" s="1089"/>
      <c r="K211" s="682">
        <v>0</v>
      </c>
      <c r="L211" s="427"/>
      <c r="M211" s="399" t="s">
        <v>511</v>
      </c>
      <c r="N211" s="434"/>
    </row>
    <row r="212" spans="2:15" s="89" customFormat="1" ht="16" outlineLevel="2" x14ac:dyDescent="0.2">
      <c r="B212" s="758"/>
      <c r="D212" s="415"/>
      <c r="E212" s="420"/>
      <c r="F212" s="1088" t="s">
        <v>495</v>
      </c>
      <c r="G212" s="1088"/>
      <c r="H212" s="1088"/>
      <c r="I212" s="1088"/>
      <c r="J212" s="1089"/>
      <c r="K212" s="421">
        <f>SUM(K213:K218)</f>
        <v>0</v>
      </c>
      <c r="L212" s="426" t="s">
        <v>864</v>
      </c>
      <c r="M212" s="399" t="s">
        <v>659</v>
      </c>
      <c r="N212" s="433"/>
    </row>
    <row r="213" spans="2:15" outlineLevel="4" x14ac:dyDescent="0.2">
      <c r="B213" s="758"/>
      <c r="D213" s="415"/>
      <c r="E213" s="420"/>
      <c r="F213" s="420"/>
      <c r="G213" s="1086" t="s">
        <v>496</v>
      </c>
      <c r="H213" s="1086"/>
      <c r="I213" s="1086"/>
      <c r="J213" s="1087"/>
      <c r="K213" s="682">
        <v>0</v>
      </c>
      <c r="L213" s="427"/>
      <c r="M213" s="399"/>
      <c r="N213" s="434"/>
    </row>
    <row r="214" spans="2:15" outlineLevel="4" x14ac:dyDescent="0.2">
      <c r="B214" s="758"/>
      <c r="D214" s="415"/>
      <c r="E214" s="420"/>
      <c r="F214" s="420"/>
      <c r="G214" s="1086" t="s">
        <v>497</v>
      </c>
      <c r="H214" s="1086"/>
      <c r="I214" s="1086"/>
      <c r="J214" s="1087"/>
      <c r="K214" s="682">
        <v>0</v>
      </c>
      <c r="L214" s="427"/>
      <c r="M214" s="399"/>
      <c r="N214" s="434"/>
    </row>
    <row r="215" spans="2:15" outlineLevel="4" x14ac:dyDescent="0.2">
      <c r="B215" s="758"/>
      <c r="D215" s="415"/>
      <c r="E215" s="420"/>
      <c r="F215" s="420"/>
      <c r="G215" s="1086" t="s">
        <v>498</v>
      </c>
      <c r="H215" s="1086"/>
      <c r="I215" s="1086"/>
      <c r="J215" s="1087"/>
      <c r="K215" s="682">
        <v>0</v>
      </c>
      <c r="L215" s="427"/>
      <c r="M215" s="399"/>
      <c r="N215" s="434"/>
    </row>
    <row r="216" spans="2:15" outlineLevel="4" x14ac:dyDescent="0.2">
      <c r="B216" s="758"/>
      <c r="D216" s="415"/>
      <c r="E216" s="420"/>
      <c r="F216" s="420"/>
      <c r="G216" s="1086" t="s">
        <v>499</v>
      </c>
      <c r="H216" s="1086"/>
      <c r="I216" s="1086"/>
      <c r="J216" s="1087"/>
      <c r="K216" s="682">
        <v>0</v>
      </c>
      <c r="L216" s="427"/>
      <c r="M216" s="399"/>
      <c r="N216" s="434"/>
    </row>
    <row r="217" spans="2:15" outlineLevel="4" x14ac:dyDescent="0.2">
      <c r="B217" s="758"/>
      <c r="D217" s="415"/>
      <c r="E217" s="420"/>
      <c r="F217" s="420"/>
      <c r="G217" s="1086" t="s">
        <v>500</v>
      </c>
      <c r="H217" s="1086"/>
      <c r="I217" s="1086"/>
      <c r="J217" s="1087"/>
      <c r="K217" s="682">
        <v>0</v>
      </c>
      <c r="L217" s="427"/>
      <c r="M217" s="399"/>
      <c r="N217" s="434"/>
    </row>
    <row r="218" spans="2:15" outlineLevel="4" x14ac:dyDescent="0.2">
      <c r="B218" s="758"/>
      <c r="D218" s="415"/>
      <c r="E218" s="420"/>
      <c r="F218" s="420"/>
      <c r="G218" s="1086" t="s">
        <v>501</v>
      </c>
      <c r="H218" s="1086"/>
      <c r="I218" s="1086"/>
      <c r="J218" s="1087"/>
      <c r="K218" s="682">
        <v>0</v>
      </c>
      <c r="L218" s="427"/>
      <c r="M218" s="399"/>
      <c r="N218" s="434"/>
    </row>
    <row r="219" spans="2:15" s="89" customFormat="1" ht="16" outlineLevel="1" x14ac:dyDescent="0.2">
      <c r="B219" s="758"/>
      <c r="D219" s="415"/>
      <c r="E219" s="1088" t="s">
        <v>502</v>
      </c>
      <c r="F219" s="1088"/>
      <c r="G219" s="1088"/>
      <c r="H219" s="1088"/>
      <c r="I219" s="1088"/>
      <c r="J219" s="1089"/>
      <c r="K219" s="421">
        <f>SUM(K220:K223)</f>
        <v>0</v>
      </c>
      <c r="L219" s="426" t="s">
        <v>865</v>
      </c>
      <c r="M219" s="399" t="s">
        <v>660</v>
      </c>
      <c r="N219" s="433"/>
    </row>
    <row r="220" spans="2:15" s="89" customFormat="1" outlineLevel="2" x14ac:dyDescent="0.2">
      <c r="B220" s="758"/>
      <c r="D220" s="415"/>
      <c r="E220" s="420"/>
      <c r="F220" s="1086" t="s">
        <v>503</v>
      </c>
      <c r="G220" s="1086"/>
      <c r="H220" s="1086"/>
      <c r="I220" s="1086"/>
      <c r="J220" s="1087"/>
      <c r="K220" s="682">
        <v>0</v>
      </c>
      <c r="L220" s="427"/>
      <c r="M220" s="399"/>
      <c r="N220" s="434"/>
    </row>
    <row r="221" spans="2:15" s="89" customFormat="1" outlineLevel="2" x14ac:dyDescent="0.2">
      <c r="B221" s="758"/>
      <c r="D221" s="415"/>
      <c r="E221" s="420"/>
      <c r="F221" s="1086" t="s">
        <v>504</v>
      </c>
      <c r="G221" s="1086"/>
      <c r="H221" s="1086"/>
      <c r="I221" s="1086"/>
      <c r="J221" s="1087"/>
      <c r="K221" s="682">
        <v>0</v>
      </c>
      <c r="L221" s="427"/>
      <c r="M221" s="399"/>
      <c r="N221" s="434"/>
    </row>
    <row r="222" spans="2:15" s="89" customFormat="1" outlineLevel="2" x14ac:dyDescent="0.2">
      <c r="B222" s="758"/>
      <c r="D222" s="415"/>
      <c r="E222" s="420"/>
      <c r="F222" s="1086" t="s">
        <v>505</v>
      </c>
      <c r="G222" s="1086"/>
      <c r="H222" s="1086"/>
      <c r="I222" s="1086"/>
      <c r="J222" s="1087"/>
      <c r="K222" s="682">
        <v>0</v>
      </c>
      <c r="L222" s="427"/>
      <c r="M222" s="399"/>
      <c r="N222" s="434"/>
    </row>
    <row r="223" spans="2:15" s="89" customFormat="1" outlineLevel="2" x14ac:dyDescent="0.2">
      <c r="B223" s="758"/>
      <c r="D223" s="415"/>
      <c r="E223" s="420"/>
      <c r="F223" s="1086" t="s">
        <v>506</v>
      </c>
      <c r="G223" s="1086"/>
      <c r="H223" s="1086"/>
      <c r="I223" s="1086"/>
      <c r="J223" s="1087"/>
      <c r="K223" s="421">
        <f>SUM(K224:K226)</f>
        <v>0</v>
      </c>
      <c r="L223" s="426" t="s">
        <v>866</v>
      </c>
      <c r="M223" s="399"/>
      <c r="N223" s="434"/>
    </row>
    <row r="224" spans="2:15" outlineLevel="3" x14ac:dyDescent="0.2">
      <c r="B224" s="758"/>
      <c r="D224" s="415"/>
      <c r="E224" s="420"/>
      <c r="F224" s="420"/>
      <c r="G224" s="1086" t="s">
        <v>507</v>
      </c>
      <c r="H224" s="1086"/>
      <c r="I224" s="1086"/>
      <c r="J224" s="1087"/>
      <c r="K224" s="682">
        <v>0</v>
      </c>
      <c r="L224" s="428"/>
      <c r="M224" s="398"/>
      <c r="N224" s="283"/>
      <c r="O224" s="110"/>
    </row>
    <row r="225" spans="2:15" outlineLevel="3" x14ac:dyDescent="0.2">
      <c r="B225" s="758"/>
      <c r="D225" s="415"/>
      <c r="E225" s="420"/>
      <c r="F225" s="420"/>
      <c r="G225" s="1086" t="s">
        <v>508</v>
      </c>
      <c r="H225" s="1086"/>
      <c r="I225" s="1086"/>
      <c r="J225" s="1087"/>
      <c r="K225" s="682">
        <v>0</v>
      </c>
      <c r="L225" s="428"/>
      <c r="M225" s="398"/>
      <c r="N225" s="283"/>
      <c r="O225" s="110"/>
    </row>
    <row r="226" spans="2:15" ht="16" outlineLevel="3" thickBot="1" x14ac:dyDescent="0.25">
      <c r="B226" s="759"/>
      <c r="D226" s="416"/>
      <c r="E226" s="417"/>
      <c r="F226" s="417"/>
      <c r="G226" s="1090" t="s">
        <v>509</v>
      </c>
      <c r="H226" s="1090"/>
      <c r="I226" s="1090"/>
      <c r="J226" s="1091"/>
      <c r="K226" s="666">
        <v>0</v>
      </c>
      <c r="L226" s="409"/>
      <c r="M226" s="412"/>
      <c r="N226" s="414"/>
      <c r="O226" s="110"/>
    </row>
    <row r="227" spans="2:15" outlineLevel="1" x14ac:dyDescent="0.2">
      <c r="N227" s="92"/>
      <c r="O227" s="110"/>
    </row>
    <row r="228" spans="2:15" ht="16" thickBot="1" x14ac:dyDescent="0.25">
      <c r="B228" s="12"/>
      <c r="N228" s="92"/>
      <c r="O228" s="110"/>
    </row>
    <row r="229" spans="2:15" ht="19" x14ac:dyDescent="0.2">
      <c r="B229" s="12"/>
      <c r="J229" s="760" t="s">
        <v>208</v>
      </c>
      <c r="K229" s="761"/>
      <c r="L229" s="762"/>
      <c r="N229" s="92"/>
      <c r="O229" s="110"/>
    </row>
    <row r="230" spans="2:15" ht="16" x14ac:dyDescent="0.2">
      <c r="B230" s="12"/>
      <c r="J230" s="299" t="s">
        <v>896</v>
      </c>
      <c r="K230" s="300" t="s">
        <v>897</v>
      </c>
      <c r="L230" s="301" t="s">
        <v>898</v>
      </c>
      <c r="N230" s="92"/>
      <c r="O230" s="110"/>
    </row>
    <row r="231" spans="2:15" x14ac:dyDescent="0.2">
      <c r="B231" s="12"/>
      <c r="J231" s="302" t="s">
        <v>578</v>
      </c>
      <c r="K231" s="575">
        <v>1038225</v>
      </c>
      <c r="L231" s="570">
        <v>1</v>
      </c>
      <c r="N231" s="92"/>
      <c r="O231" s="110"/>
    </row>
    <row r="232" spans="2:15" x14ac:dyDescent="0.2">
      <c r="B232" s="12"/>
      <c r="J232" s="302" t="s">
        <v>579</v>
      </c>
      <c r="K232" s="575">
        <v>129402</v>
      </c>
      <c r="L232" s="570">
        <v>1</v>
      </c>
      <c r="N232" s="92"/>
      <c r="O232" s="110"/>
    </row>
    <row r="233" spans="2:15" x14ac:dyDescent="0.2">
      <c r="B233" s="12"/>
      <c r="J233" s="302" t="s">
        <v>580</v>
      </c>
      <c r="K233" s="575">
        <v>36000</v>
      </c>
      <c r="L233" s="570">
        <v>1</v>
      </c>
      <c r="N233" s="92"/>
      <c r="O233" s="110"/>
    </row>
    <row r="234" spans="2:15" ht="16" thickBot="1" x14ac:dyDescent="0.25">
      <c r="B234" s="12"/>
      <c r="J234" s="303" t="s">
        <v>581</v>
      </c>
      <c r="K234" s="576">
        <v>64332</v>
      </c>
      <c r="L234" s="571">
        <v>1</v>
      </c>
      <c r="N234" s="92"/>
      <c r="O234" s="110"/>
    </row>
    <row r="235" spans="2:15" x14ac:dyDescent="0.2">
      <c r="B235" s="12"/>
      <c r="J235" s="92"/>
      <c r="K235" s="91"/>
      <c r="L235" s="91"/>
      <c r="N235" s="92"/>
      <c r="O235" s="110"/>
    </row>
    <row r="236" spans="2:15" ht="16" thickBot="1" x14ac:dyDescent="0.25">
      <c r="B236" s="12"/>
      <c r="J236" s="92"/>
      <c r="K236" s="91"/>
      <c r="L236" s="91"/>
      <c r="N236" s="92"/>
      <c r="O236" s="110"/>
    </row>
    <row r="237" spans="2:15" ht="19" x14ac:dyDescent="0.2">
      <c r="B237" s="12"/>
      <c r="J237" s="760" t="s">
        <v>662</v>
      </c>
      <c r="K237" s="761"/>
      <c r="L237" s="762"/>
      <c r="N237" s="92"/>
      <c r="O237" s="110"/>
    </row>
    <row r="238" spans="2:15" ht="16" x14ac:dyDescent="0.2">
      <c r="B238" s="12"/>
      <c r="J238" s="311" t="s">
        <v>189</v>
      </c>
      <c r="K238" s="312" t="s">
        <v>186</v>
      </c>
      <c r="L238" s="313" t="s">
        <v>187</v>
      </c>
      <c r="N238" s="92"/>
      <c r="O238" s="110"/>
    </row>
    <row r="239" spans="2:15" x14ac:dyDescent="0.2">
      <c r="B239" s="12"/>
      <c r="J239" s="302" t="s">
        <v>190</v>
      </c>
      <c r="K239" s="575">
        <v>35349</v>
      </c>
      <c r="L239" s="570">
        <v>3</v>
      </c>
      <c r="N239" s="92"/>
      <c r="O239" s="110"/>
    </row>
    <row r="240" spans="2:15" x14ac:dyDescent="0.2">
      <c r="B240" s="12"/>
      <c r="J240" s="302" t="s">
        <v>191</v>
      </c>
      <c r="K240" s="575">
        <v>12985</v>
      </c>
      <c r="L240" s="570">
        <v>1</v>
      </c>
      <c r="N240" s="92"/>
      <c r="O240" s="110"/>
    </row>
    <row r="241" spans="2:16" x14ac:dyDescent="0.2">
      <c r="B241" s="12"/>
      <c r="J241" s="302" t="s">
        <v>192</v>
      </c>
      <c r="K241" s="575">
        <v>43415</v>
      </c>
      <c r="L241" s="570">
        <v>1</v>
      </c>
      <c r="N241" s="92"/>
      <c r="O241" s="110"/>
    </row>
    <row r="242" spans="2:16" x14ac:dyDescent="0.2">
      <c r="B242" s="12"/>
      <c r="J242" s="302" t="s">
        <v>195</v>
      </c>
      <c r="K242" s="575">
        <v>1050</v>
      </c>
      <c r="L242" s="570">
        <v>2</v>
      </c>
      <c r="N242" s="92"/>
      <c r="O242" s="110"/>
    </row>
    <row r="243" spans="2:16" x14ac:dyDescent="0.2">
      <c r="B243" s="12"/>
      <c r="J243" s="302" t="s">
        <v>193</v>
      </c>
      <c r="K243" s="575">
        <v>13766</v>
      </c>
      <c r="L243" s="570">
        <v>3</v>
      </c>
      <c r="N243" s="92"/>
      <c r="O243" s="110"/>
    </row>
    <row r="244" spans="2:16" x14ac:dyDescent="0.2">
      <c r="B244" s="12"/>
      <c r="J244" s="302" t="s">
        <v>194</v>
      </c>
      <c r="K244" s="575">
        <v>3495</v>
      </c>
      <c r="L244" s="570">
        <v>6</v>
      </c>
      <c r="N244" s="92"/>
      <c r="O244" s="110"/>
    </row>
    <row r="245" spans="2:16" x14ac:dyDescent="0.2">
      <c r="B245" s="12"/>
      <c r="J245" s="302" t="s">
        <v>196</v>
      </c>
      <c r="K245" s="575">
        <v>14429</v>
      </c>
      <c r="L245" s="570">
        <v>1</v>
      </c>
      <c r="N245" s="92"/>
      <c r="O245" s="110"/>
    </row>
    <row r="246" spans="2:16" x14ac:dyDescent="0.2">
      <c r="B246" s="12"/>
      <c r="J246" s="302" t="s">
        <v>201</v>
      </c>
      <c r="K246" s="575">
        <v>1190</v>
      </c>
      <c r="L246" s="570">
        <v>2</v>
      </c>
      <c r="N246" s="92"/>
      <c r="O246" s="110"/>
    </row>
    <row r="247" spans="2:16" x14ac:dyDescent="0.2">
      <c r="B247" s="12"/>
      <c r="J247" s="302" t="s">
        <v>202</v>
      </c>
      <c r="K247" s="575">
        <v>1860</v>
      </c>
      <c r="L247" s="570">
        <v>1</v>
      </c>
      <c r="N247" s="92"/>
      <c r="O247" s="110"/>
    </row>
    <row r="248" spans="2:16" x14ac:dyDescent="0.2">
      <c r="B248" s="12"/>
      <c r="J248" s="302" t="s">
        <v>197</v>
      </c>
      <c r="K248" s="575">
        <v>33435</v>
      </c>
      <c r="L248" s="570">
        <v>3</v>
      </c>
      <c r="N248" s="92"/>
      <c r="O248" s="110"/>
    </row>
    <row r="249" spans="2:16" x14ac:dyDescent="0.2">
      <c r="B249" s="12"/>
      <c r="J249" s="302" t="s">
        <v>198</v>
      </c>
      <c r="K249" s="575">
        <v>6536</v>
      </c>
      <c r="L249" s="570">
        <v>2</v>
      </c>
      <c r="N249" s="92"/>
      <c r="O249" s="110"/>
    </row>
    <row r="250" spans="2:16" x14ac:dyDescent="0.2">
      <c r="B250" s="12"/>
      <c r="J250" s="302" t="s">
        <v>199</v>
      </c>
      <c r="K250" s="575">
        <v>31029</v>
      </c>
      <c r="L250" s="570">
        <v>2</v>
      </c>
      <c r="N250" s="92"/>
      <c r="O250" s="110"/>
    </row>
    <row r="251" spans="2:16" ht="16" thickBot="1" x14ac:dyDescent="0.25">
      <c r="B251" s="12"/>
      <c r="J251" s="314" t="s">
        <v>200</v>
      </c>
      <c r="K251" s="577">
        <v>22098</v>
      </c>
      <c r="L251" s="578">
        <v>2</v>
      </c>
      <c r="N251" s="92"/>
      <c r="O251" s="110"/>
    </row>
    <row r="252" spans="2:16" x14ac:dyDescent="0.2">
      <c r="B252" s="12"/>
      <c r="N252" s="92"/>
      <c r="O252" s="110"/>
    </row>
    <row r="253" spans="2:16" x14ac:dyDescent="0.2">
      <c r="B253" s="12"/>
      <c r="N253" s="92"/>
      <c r="O253" s="110"/>
    </row>
    <row r="254" spans="2:16" ht="16" thickBot="1" x14ac:dyDescent="0.25">
      <c r="B254" s="12"/>
      <c r="N254" s="92"/>
      <c r="O254" s="110"/>
    </row>
    <row r="255" spans="2:16" ht="20" customHeight="1" thickBot="1" x14ac:dyDescent="0.3">
      <c r="B255" s="757" t="s">
        <v>51</v>
      </c>
      <c r="E255" s="126"/>
      <c r="F255" s="126"/>
      <c r="G255" s="126"/>
      <c r="H255" s="126"/>
      <c r="I255" s="126"/>
      <c r="J255" s="1082" t="s">
        <v>567</v>
      </c>
      <c r="K255" s="1083"/>
      <c r="L255" s="1084" t="s">
        <v>568</v>
      </c>
      <c r="M255" s="1085"/>
      <c r="N255" s="92"/>
      <c r="O255" s="1096" t="s">
        <v>626</v>
      </c>
      <c r="P255" s="1097"/>
    </row>
    <row r="256" spans="2:16" x14ac:dyDescent="0.2">
      <c r="B256" s="758"/>
      <c r="D256" s="822" t="s">
        <v>553</v>
      </c>
      <c r="E256" s="823"/>
      <c r="F256" s="823"/>
      <c r="G256" s="823"/>
      <c r="H256" s="823"/>
      <c r="I256" s="824"/>
      <c r="J256" s="75" t="s">
        <v>213</v>
      </c>
      <c r="K256" s="73" t="s">
        <v>212</v>
      </c>
      <c r="L256" s="75" t="s">
        <v>213</v>
      </c>
      <c r="M256" s="73" t="s">
        <v>212</v>
      </c>
      <c r="N256" s="92"/>
      <c r="O256" s="1092" t="s">
        <v>869</v>
      </c>
      <c r="P256" s="1093"/>
    </row>
    <row r="257" spans="2:16" x14ac:dyDescent="0.2">
      <c r="B257" s="758"/>
      <c r="D257" s="825"/>
      <c r="E257" s="826"/>
      <c r="F257" s="826"/>
      <c r="G257" s="826"/>
      <c r="H257" s="826"/>
      <c r="I257" s="827"/>
      <c r="J257" s="84" t="s">
        <v>552</v>
      </c>
      <c r="K257" s="108">
        <f>(K17*J8*2)+K19+K18</f>
        <v>113476</v>
      </c>
      <c r="L257" s="84" t="s">
        <v>552</v>
      </c>
      <c r="M257" s="108">
        <f>(K17*J9*2)+K19+K18</f>
        <v>72676</v>
      </c>
      <c r="N257" s="92"/>
      <c r="O257" s="1092"/>
      <c r="P257" s="1093"/>
    </row>
    <row r="258" spans="2:16" x14ac:dyDescent="0.2">
      <c r="B258" s="758"/>
      <c r="D258" s="825"/>
      <c r="E258" s="826"/>
      <c r="F258" s="826"/>
      <c r="G258" s="826"/>
      <c r="H258" s="826"/>
      <c r="I258" s="827"/>
      <c r="J258" s="84" t="s">
        <v>527</v>
      </c>
      <c r="K258" s="108">
        <f>K22</f>
        <v>2882108</v>
      </c>
      <c r="L258" s="84" t="s">
        <v>527</v>
      </c>
      <c r="M258" s="108">
        <f>K22</f>
        <v>2882108</v>
      </c>
      <c r="N258" s="92"/>
      <c r="O258" s="1092"/>
      <c r="P258" s="1093"/>
    </row>
    <row r="259" spans="2:16" x14ac:dyDescent="0.2">
      <c r="B259" s="758"/>
      <c r="D259" s="825"/>
      <c r="E259" s="826"/>
      <c r="F259" s="826"/>
      <c r="G259" s="826"/>
      <c r="H259" s="826"/>
      <c r="I259" s="827"/>
      <c r="J259" s="84" t="s">
        <v>530</v>
      </c>
      <c r="K259" s="108">
        <f>K219</f>
        <v>0</v>
      </c>
      <c r="L259" s="84" t="s">
        <v>530</v>
      </c>
      <c r="M259" s="108">
        <f>K219</f>
        <v>0</v>
      </c>
      <c r="N259" s="92"/>
      <c r="O259" s="1092"/>
      <c r="P259" s="1093"/>
    </row>
    <row r="260" spans="2:16" ht="16" thickBot="1" x14ac:dyDescent="0.25">
      <c r="B260" s="758"/>
      <c r="D260" s="828"/>
      <c r="E260" s="829"/>
      <c r="F260" s="829"/>
      <c r="G260" s="829"/>
      <c r="H260" s="829"/>
      <c r="I260" s="830"/>
      <c r="J260" s="101" t="s">
        <v>555</v>
      </c>
      <c r="K260" s="100">
        <f>SUM(K257:K259)</f>
        <v>2995584</v>
      </c>
      <c r="L260" s="101" t="s">
        <v>555</v>
      </c>
      <c r="M260" s="100">
        <f>SUM(M257:M259)</f>
        <v>2954784</v>
      </c>
      <c r="N260" s="92"/>
      <c r="O260" s="1094"/>
      <c r="P260" s="1095"/>
    </row>
    <row r="261" spans="2:16" ht="16" thickBot="1" x14ac:dyDescent="0.25">
      <c r="B261" s="758"/>
      <c r="D261" s="5"/>
      <c r="E261" s="5"/>
      <c r="F261" s="5"/>
      <c r="G261" s="5"/>
      <c r="H261" s="5"/>
      <c r="I261" s="5"/>
      <c r="J261" s="70"/>
      <c r="K261" s="125"/>
      <c r="N261" s="92"/>
      <c r="O261" s="110"/>
    </row>
    <row r="262" spans="2:16" ht="20" thickBot="1" x14ac:dyDescent="0.25">
      <c r="B262" s="758"/>
      <c r="D262" s="779" t="s">
        <v>529</v>
      </c>
      <c r="E262" s="780"/>
      <c r="F262" s="780"/>
      <c r="G262" s="780"/>
      <c r="H262" s="780"/>
      <c r="I262" s="780"/>
      <c r="J262" s="780"/>
      <c r="K262" s="780"/>
      <c r="L262" s="780"/>
      <c r="M262" s="781"/>
      <c r="N262" s="92"/>
      <c r="O262" s="110"/>
    </row>
    <row r="263" spans="2:16" x14ac:dyDescent="0.2">
      <c r="B263" s="758"/>
      <c r="D263" s="770" t="s">
        <v>208</v>
      </c>
      <c r="E263" s="771"/>
      <c r="F263" s="771"/>
      <c r="G263" s="771"/>
      <c r="H263" s="771"/>
      <c r="I263" s="771"/>
      <c r="J263" s="77" t="s">
        <v>185</v>
      </c>
      <c r="K263" s="75" t="s">
        <v>203</v>
      </c>
      <c r="L263" s="75" t="s">
        <v>204</v>
      </c>
      <c r="M263" s="73" t="s">
        <v>188</v>
      </c>
      <c r="N263" s="92"/>
      <c r="O263" s="110"/>
    </row>
    <row r="264" spans="2:16" x14ac:dyDescent="0.2">
      <c r="B264" s="758"/>
      <c r="D264" s="773"/>
      <c r="E264" s="774"/>
      <c r="F264" s="774"/>
      <c r="G264" s="774"/>
      <c r="H264" s="774"/>
      <c r="I264" s="774"/>
      <c r="J264" s="226" t="s">
        <v>578</v>
      </c>
      <c r="K264" s="227">
        <f>K231</f>
        <v>1038225</v>
      </c>
      <c r="L264" s="228">
        <v>1</v>
      </c>
      <c r="M264" s="229">
        <f>K264*L264</f>
        <v>1038225</v>
      </c>
      <c r="N264" s="92"/>
      <c r="O264" s="110"/>
    </row>
    <row r="265" spans="2:16" x14ac:dyDescent="0.2">
      <c r="B265" s="758"/>
      <c r="D265" s="773"/>
      <c r="E265" s="774"/>
      <c r="F265" s="774"/>
      <c r="G265" s="774"/>
      <c r="H265" s="774"/>
      <c r="I265" s="774"/>
      <c r="J265" s="226" t="s">
        <v>579</v>
      </c>
      <c r="K265" s="227">
        <f>K232</f>
        <v>129402</v>
      </c>
      <c r="L265" s="228">
        <f>L232</f>
        <v>1</v>
      </c>
      <c r="M265" s="229">
        <f>K265*L265</f>
        <v>129402</v>
      </c>
      <c r="N265" s="92"/>
      <c r="O265" s="110"/>
    </row>
    <row r="266" spans="2:16" x14ac:dyDescent="0.2">
      <c r="B266" s="758"/>
      <c r="D266" s="773"/>
      <c r="E266" s="774"/>
      <c r="F266" s="774"/>
      <c r="G266" s="774"/>
      <c r="H266" s="774"/>
      <c r="I266" s="774"/>
      <c r="J266" s="226" t="s">
        <v>580</v>
      </c>
      <c r="K266" s="227">
        <f>K233</f>
        <v>36000</v>
      </c>
      <c r="L266" s="228">
        <f>L233</f>
        <v>1</v>
      </c>
      <c r="M266" s="229">
        <f>K266*L266</f>
        <v>36000</v>
      </c>
      <c r="N266" s="92"/>
      <c r="O266" s="110"/>
    </row>
    <row r="267" spans="2:16" x14ac:dyDescent="0.2">
      <c r="B267" s="758"/>
      <c r="D267" s="773"/>
      <c r="E267" s="774"/>
      <c r="F267" s="774"/>
      <c r="G267" s="774"/>
      <c r="H267" s="774"/>
      <c r="I267" s="774"/>
      <c r="J267" s="226" t="s">
        <v>581</v>
      </c>
      <c r="K267" s="227">
        <f>K234</f>
        <v>64332</v>
      </c>
      <c r="L267" s="228">
        <f>L234</f>
        <v>1</v>
      </c>
      <c r="M267" s="229">
        <f>K267*L267</f>
        <v>64332</v>
      </c>
      <c r="N267" s="92"/>
      <c r="O267" s="110"/>
    </row>
    <row r="268" spans="2:16" ht="16" thickBot="1" x14ac:dyDescent="0.25">
      <c r="B268" s="758"/>
      <c r="D268" s="776"/>
      <c r="E268" s="777"/>
      <c r="F268" s="777"/>
      <c r="G268" s="777"/>
      <c r="H268" s="777"/>
      <c r="I268" s="777"/>
      <c r="J268" s="83"/>
      <c r="K268" s="901" t="s">
        <v>205</v>
      </c>
      <c r="L268" s="901"/>
      <c r="M268" s="37">
        <f>SUM(M264:M267)</f>
        <v>1267959</v>
      </c>
      <c r="N268" s="92"/>
      <c r="O268" s="110"/>
    </row>
    <row r="269" spans="2:16" ht="16" thickBot="1" x14ac:dyDescent="0.25">
      <c r="B269" s="758"/>
      <c r="N269" s="92"/>
      <c r="O269" s="110"/>
    </row>
    <row r="270" spans="2:16" x14ac:dyDescent="0.2">
      <c r="B270" s="758"/>
      <c r="D270" s="770" t="s">
        <v>211</v>
      </c>
      <c r="E270" s="771"/>
      <c r="F270" s="771"/>
      <c r="G270" s="771"/>
      <c r="H270" s="771"/>
      <c r="I270" s="771"/>
      <c r="J270" s="77" t="s">
        <v>189</v>
      </c>
      <c r="K270" s="75" t="s">
        <v>186</v>
      </c>
      <c r="L270" s="75" t="s">
        <v>187</v>
      </c>
      <c r="M270" s="73" t="s">
        <v>188</v>
      </c>
      <c r="N270" s="92"/>
      <c r="O270" s="110"/>
    </row>
    <row r="271" spans="2:16" x14ac:dyDescent="0.2">
      <c r="B271" s="758"/>
      <c r="D271" s="773"/>
      <c r="E271" s="774"/>
      <c r="F271" s="774"/>
      <c r="G271" s="774"/>
      <c r="H271" s="774"/>
      <c r="I271" s="774"/>
      <c r="J271" s="84" t="s">
        <v>190</v>
      </c>
      <c r="K271" s="54">
        <f t="shared" ref="K271:L283" si="0">K239</f>
        <v>35349</v>
      </c>
      <c r="L271" s="9">
        <f t="shared" si="0"/>
        <v>3</v>
      </c>
      <c r="M271" s="36">
        <f>K271*L271</f>
        <v>106047</v>
      </c>
      <c r="N271" s="92"/>
      <c r="O271" s="110"/>
    </row>
    <row r="272" spans="2:16" x14ac:dyDescent="0.2">
      <c r="B272" s="758"/>
      <c r="D272" s="773"/>
      <c r="E272" s="774"/>
      <c r="F272" s="774"/>
      <c r="G272" s="774"/>
      <c r="H272" s="774"/>
      <c r="I272" s="774"/>
      <c r="J272" s="84" t="s">
        <v>191</v>
      </c>
      <c r="K272" s="54">
        <f t="shared" si="0"/>
        <v>12985</v>
      </c>
      <c r="L272" s="9">
        <f t="shared" si="0"/>
        <v>1</v>
      </c>
      <c r="M272" s="36">
        <f>K272*L272</f>
        <v>12985</v>
      </c>
      <c r="N272" s="92"/>
      <c r="O272" s="110"/>
    </row>
    <row r="273" spans="2:15" x14ac:dyDescent="0.2">
      <c r="B273" s="758"/>
      <c r="D273" s="773"/>
      <c r="E273" s="774"/>
      <c r="F273" s="774"/>
      <c r="G273" s="774"/>
      <c r="H273" s="774"/>
      <c r="I273" s="774"/>
      <c r="J273" s="84" t="s">
        <v>192</v>
      </c>
      <c r="K273" s="54">
        <f t="shared" si="0"/>
        <v>43415</v>
      </c>
      <c r="L273" s="9">
        <f t="shared" si="0"/>
        <v>1</v>
      </c>
      <c r="M273" s="36">
        <f t="shared" ref="M273:M283" si="1">K273*L273</f>
        <v>43415</v>
      </c>
      <c r="N273" s="92"/>
      <c r="O273" s="110"/>
    </row>
    <row r="274" spans="2:15" x14ac:dyDescent="0.2">
      <c r="B274" s="758"/>
      <c r="D274" s="773"/>
      <c r="E274" s="774"/>
      <c r="F274" s="774"/>
      <c r="G274" s="774"/>
      <c r="H274" s="774"/>
      <c r="I274" s="774"/>
      <c r="J274" s="84" t="s">
        <v>195</v>
      </c>
      <c r="K274" s="54">
        <f t="shared" si="0"/>
        <v>1050</v>
      </c>
      <c r="L274" s="9">
        <f t="shared" si="0"/>
        <v>2</v>
      </c>
      <c r="M274" s="36">
        <f t="shared" si="1"/>
        <v>2100</v>
      </c>
      <c r="N274" s="92"/>
      <c r="O274" s="110"/>
    </row>
    <row r="275" spans="2:15" x14ac:dyDescent="0.2">
      <c r="B275" s="758"/>
      <c r="D275" s="773"/>
      <c r="E275" s="774"/>
      <c r="F275" s="774"/>
      <c r="G275" s="774"/>
      <c r="H275" s="774"/>
      <c r="I275" s="774"/>
      <c r="J275" s="84" t="s">
        <v>193</v>
      </c>
      <c r="K275" s="54">
        <f t="shared" si="0"/>
        <v>13766</v>
      </c>
      <c r="L275" s="9">
        <f t="shared" si="0"/>
        <v>3</v>
      </c>
      <c r="M275" s="36">
        <f t="shared" si="1"/>
        <v>41298</v>
      </c>
      <c r="N275" s="92"/>
      <c r="O275" s="110"/>
    </row>
    <row r="276" spans="2:15" x14ac:dyDescent="0.2">
      <c r="B276" s="758"/>
      <c r="D276" s="773"/>
      <c r="E276" s="774"/>
      <c r="F276" s="774"/>
      <c r="G276" s="774"/>
      <c r="H276" s="774"/>
      <c r="I276" s="774"/>
      <c r="J276" s="84" t="s">
        <v>194</v>
      </c>
      <c r="K276" s="54">
        <f t="shared" si="0"/>
        <v>3495</v>
      </c>
      <c r="L276" s="9">
        <f t="shared" si="0"/>
        <v>6</v>
      </c>
      <c r="M276" s="36">
        <f>K276*L276</f>
        <v>20970</v>
      </c>
      <c r="N276" s="92"/>
      <c r="O276" s="110"/>
    </row>
    <row r="277" spans="2:15" x14ac:dyDescent="0.2">
      <c r="B277" s="758"/>
      <c r="D277" s="773"/>
      <c r="E277" s="774"/>
      <c r="F277" s="774"/>
      <c r="G277" s="774"/>
      <c r="H277" s="774"/>
      <c r="I277" s="774"/>
      <c r="J277" s="84" t="s">
        <v>196</v>
      </c>
      <c r="K277" s="54">
        <f t="shared" si="0"/>
        <v>14429</v>
      </c>
      <c r="L277" s="9">
        <f t="shared" si="0"/>
        <v>1</v>
      </c>
      <c r="M277" s="36">
        <f t="shared" si="1"/>
        <v>14429</v>
      </c>
      <c r="N277" s="92"/>
      <c r="O277" s="110"/>
    </row>
    <row r="278" spans="2:15" x14ac:dyDescent="0.2">
      <c r="B278" s="758"/>
      <c r="D278" s="773"/>
      <c r="E278" s="774"/>
      <c r="F278" s="774"/>
      <c r="G278" s="774"/>
      <c r="H278" s="774"/>
      <c r="I278" s="774"/>
      <c r="J278" s="84" t="s">
        <v>201</v>
      </c>
      <c r="K278" s="54">
        <f t="shared" si="0"/>
        <v>1190</v>
      </c>
      <c r="L278" s="9">
        <f t="shared" si="0"/>
        <v>2</v>
      </c>
      <c r="M278" s="36">
        <f t="shared" si="1"/>
        <v>2380</v>
      </c>
      <c r="N278" s="92"/>
      <c r="O278" s="110"/>
    </row>
    <row r="279" spans="2:15" x14ac:dyDescent="0.2">
      <c r="B279" s="758"/>
      <c r="D279" s="773"/>
      <c r="E279" s="774"/>
      <c r="F279" s="774"/>
      <c r="G279" s="774"/>
      <c r="H279" s="774"/>
      <c r="I279" s="774"/>
      <c r="J279" s="84" t="s">
        <v>202</v>
      </c>
      <c r="K279" s="54">
        <f t="shared" si="0"/>
        <v>1860</v>
      </c>
      <c r="L279" s="9">
        <f t="shared" si="0"/>
        <v>1</v>
      </c>
      <c r="M279" s="36">
        <f>K279*L279</f>
        <v>1860</v>
      </c>
      <c r="N279" s="92"/>
      <c r="O279" s="110"/>
    </row>
    <row r="280" spans="2:15" x14ac:dyDescent="0.2">
      <c r="B280" s="758"/>
      <c r="D280" s="773"/>
      <c r="E280" s="774"/>
      <c r="F280" s="774"/>
      <c r="G280" s="774"/>
      <c r="H280" s="774"/>
      <c r="I280" s="774"/>
      <c r="J280" s="84" t="s">
        <v>197</v>
      </c>
      <c r="K280" s="54">
        <f t="shared" si="0"/>
        <v>33435</v>
      </c>
      <c r="L280" s="9">
        <f t="shared" si="0"/>
        <v>3</v>
      </c>
      <c r="M280" s="36">
        <f t="shared" si="1"/>
        <v>100305</v>
      </c>
      <c r="N280" s="92"/>
      <c r="O280" s="110"/>
    </row>
    <row r="281" spans="2:15" x14ac:dyDescent="0.2">
      <c r="B281" s="758"/>
      <c r="D281" s="773"/>
      <c r="E281" s="774"/>
      <c r="F281" s="774"/>
      <c r="G281" s="774"/>
      <c r="H281" s="774"/>
      <c r="I281" s="774"/>
      <c r="J281" s="84" t="s">
        <v>198</v>
      </c>
      <c r="K281" s="54">
        <f t="shared" si="0"/>
        <v>6536</v>
      </c>
      <c r="L281" s="9">
        <f t="shared" si="0"/>
        <v>2</v>
      </c>
      <c r="M281" s="36">
        <f t="shared" si="1"/>
        <v>13072</v>
      </c>
      <c r="N281" s="92"/>
      <c r="O281" s="110"/>
    </row>
    <row r="282" spans="2:15" x14ac:dyDescent="0.2">
      <c r="B282" s="758"/>
      <c r="D282" s="773"/>
      <c r="E282" s="774"/>
      <c r="F282" s="774"/>
      <c r="G282" s="774"/>
      <c r="H282" s="774"/>
      <c r="I282" s="774"/>
      <c r="J282" s="84" t="s">
        <v>199</v>
      </c>
      <c r="K282" s="54">
        <f t="shared" si="0"/>
        <v>31029</v>
      </c>
      <c r="L282" s="9">
        <f t="shared" si="0"/>
        <v>2</v>
      </c>
      <c r="M282" s="36">
        <f t="shared" si="1"/>
        <v>62058</v>
      </c>
      <c r="N282" s="92"/>
      <c r="O282" s="110"/>
    </row>
    <row r="283" spans="2:15" x14ac:dyDescent="0.2">
      <c r="B283" s="758"/>
      <c r="D283" s="773"/>
      <c r="E283" s="774"/>
      <c r="F283" s="774"/>
      <c r="G283" s="774"/>
      <c r="H283" s="774"/>
      <c r="I283" s="774"/>
      <c r="J283" s="84" t="s">
        <v>200</v>
      </c>
      <c r="K283" s="54">
        <f t="shared" si="0"/>
        <v>22098</v>
      </c>
      <c r="L283" s="9">
        <f t="shared" si="0"/>
        <v>2</v>
      </c>
      <c r="M283" s="36">
        <f t="shared" si="1"/>
        <v>44196</v>
      </c>
      <c r="N283" s="92"/>
      <c r="O283" s="110"/>
    </row>
    <row r="284" spans="2:15" ht="16" thickBot="1" x14ac:dyDescent="0.25">
      <c r="B284" s="759"/>
      <c r="D284" s="776"/>
      <c r="E284" s="777"/>
      <c r="F284" s="777"/>
      <c r="G284" s="777"/>
      <c r="H284" s="777"/>
      <c r="I284" s="777"/>
      <c r="J284" s="83"/>
      <c r="K284" s="962" t="s">
        <v>206</v>
      </c>
      <c r="L284" s="962"/>
      <c r="M284" s="86">
        <f>SUM(M271:M283)</f>
        <v>465115</v>
      </c>
      <c r="N284" s="92"/>
      <c r="O284" s="110"/>
    </row>
    <row r="285" spans="2:15" x14ac:dyDescent="0.2">
      <c r="B285" s="87"/>
      <c r="N285" s="92"/>
      <c r="O285" s="110"/>
    </row>
    <row r="286" spans="2:15" x14ac:dyDescent="0.2">
      <c r="B286" s="87"/>
      <c r="N286" s="92"/>
      <c r="O286" s="110"/>
    </row>
    <row r="287" spans="2:15" ht="16" thickBot="1" x14ac:dyDescent="0.25">
      <c r="B287" s="87"/>
      <c r="N287" s="92"/>
      <c r="O287" s="110"/>
    </row>
    <row r="288" spans="2:15" ht="19" customHeight="1" x14ac:dyDescent="0.2">
      <c r="B288" s="757" t="s">
        <v>26</v>
      </c>
      <c r="G288" s="831" t="s">
        <v>911</v>
      </c>
      <c r="H288" s="832"/>
      <c r="I288" s="833"/>
      <c r="K288" s="831" t="s">
        <v>938</v>
      </c>
      <c r="L288" s="833"/>
      <c r="N288" s="92"/>
      <c r="O288" s="110"/>
    </row>
    <row r="289" spans="2:15" ht="19" x14ac:dyDescent="0.2">
      <c r="B289" s="758"/>
      <c r="G289" s="1105" t="s">
        <v>524</v>
      </c>
      <c r="H289" s="1106"/>
      <c r="I289" s="1107"/>
      <c r="K289" s="944" t="s">
        <v>524</v>
      </c>
      <c r="L289" s="946"/>
      <c r="N289" s="92"/>
      <c r="O289" s="110"/>
    </row>
    <row r="290" spans="2:15" ht="20" thickBot="1" x14ac:dyDescent="0.25">
      <c r="B290" s="758"/>
      <c r="G290" s="931" t="s">
        <v>62</v>
      </c>
      <c r="H290" s="932"/>
      <c r="I290" s="306" t="s">
        <v>212</v>
      </c>
      <c r="K290" s="305" t="s">
        <v>62</v>
      </c>
      <c r="L290" s="306" t="s">
        <v>212</v>
      </c>
      <c r="N290" s="92"/>
      <c r="O290" s="110"/>
    </row>
    <row r="291" spans="2:15" ht="19" x14ac:dyDescent="0.2">
      <c r="B291" s="758"/>
      <c r="G291" s="1108" t="s">
        <v>870</v>
      </c>
      <c r="H291" s="1109"/>
      <c r="I291" s="441">
        <f>K16</f>
        <v>23376</v>
      </c>
      <c r="K291" s="439" t="s">
        <v>550</v>
      </c>
      <c r="L291" s="371">
        <f>K260+M268</f>
        <v>4263543</v>
      </c>
      <c r="N291" s="92"/>
      <c r="O291" s="110"/>
    </row>
    <row r="292" spans="2:15" ht="41" thickBot="1" x14ac:dyDescent="0.25">
      <c r="B292" s="758"/>
      <c r="G292" s="841" t="s">
        <v>181</v>
      </c>
      <c r="H292" s="842"/>
      <c r="I292" s="371">
        <f>K16+K258+K259+M268</f>
        <v>4173443</v>
      </c>
      <c r="K292" s="440" t="s">
        <v>551</v>
      </c>
      <c r="L292" s="372">
        <f>M260+M284</f>
        <v>3419899</v>
      </c>
      <c r="N292" s="92"/>
      <c r="O292" s="110"/>
    </row>
    <row r="293" spans="2:15" ht="55" customHeight="1" thickBot="1" x14ac:dyDescent="0.25">
      <c r="B293" s="759"/>
      <c r="G293" s="820" t="s">
        <v>182</v>
      </c>
      <c r="H293" s="821"/>
      <c r="I293" s="372">
        <f>K16+K258+K259+M284</f>
        <v>3370599</v>
      </c>
      <c r="N293" s="92"/>
      <c r="O293" s="110"/>
    </row>
    <row r="294" spans="2:15" ht="19" x14ac:dyDescent="0.25">
      <c r="B294" s="12"/>
      <c r="J294" s="90"/>
      <c r="K294" s="90"/>
      <c r="N294" s="92"/>
      <c r="O294" s="110"/>
    </row>
    <row r="295" spans="2:15" x14ac:dyDescent="0.2">
      <c r="N295" s="92"/>
      <c r="O295" s="110"/>
    </row>
    <row r="296" spans="2:15" x14ac:dyDescent="0.2">
      <c r="N296" s="92"/>
      <c r="O296" s="110"/>
    </row>
    <row r="297" spans="2:15" x14ac:dyDescent="0.2">
      <c r="N297" s="92"/>
      <c r="O297" s="110"/>
    </row>
    <row r="298" spans="2:15" x14ac:dyDescent="0.2">
      <c r="N298" s="92"/>
      <c r="O298" s="110"/>
    </row>
    <row r="299" spans="2:15" x14ac:dyDescent="0.2">
      <c r="N299" s="92"/>
      <c r="O299" s="110"/>
    </row>
    <row r="300" spans="2:15" x14ac:dyDescent="0.2">
      <c r="N300" s="92"/>
      <c r="O300" s="110"/>
    </row>
    <row r="301" spans="2:15" x14ac:dyDescent="0.2">
      <c r="N301" s="92"/>
      <c r="O301" s="110"/>
    </row>
    <row r="302" spans="2:15" x14ac:dyDescent="0.2">
      <c r="N302" s="92"/>
      <c r="O302" s="110"/>
    </row>
    <row r="303" spans="2:15" x14ac:dyDescent="0.2">
      <c r="N303" s="92"/>
      <c r="O303" s="110"/>
    </row>
    <row r="304" spans="2:15" x14ac:dyDescent="0.2">
      <c r="N304" s="92"/>
      <c r="O304" s="110"/>
    </row>
    <row r="305" spans="14:15" x14ac:dyDescent="0.2">
      <c r="N305" s="92"/>
      <c r="O305" s="110"/>
    </row>
    <row r="306" spans="14:15" x14ac:dyDescent="0.2">
      <c r="N306" s="92"/>
      <c r="O306" s="110"/>
    </row>
    <row r="307" spans="14:15" x14ac:dyDescent="0.2">
      <c r="N307" s="92"/>
      <c r="O307" s="110"/>
    </row>
    <row r="308" spans="14:15" x14ac:dyDescent="0.2">
      <c r="N308" s="92"/>
      <c r="O308" s="110"/>
    </row>
    <row r="309" spans="14:15" x14ac:dyDescent="0.2">
      <c r="N309" s="92"/>
      <c r="O309" s="110"/>
    </row>
    <row r="310" spans="14:15" x14ac:dyDescent="0.2">
      <c r="N310" s="92"/>
      <c r="O310" s="110"/>
    </row>
    <row r="311" spans="14:15" x14ac:dyDescent="0.2">
      <c r="N311" s="92"/>
      <c r="O311" s="110"/>
    </row>
    <row r="312" spans="14:15" x14ac:dyDescent="0.2">
      <c r="N312" s="92"/>
      <c r="O312" s="110"/>
    </row>
    <row r="313" spans="14:15" x14ac:dyDescent="0.2">
      <c r="N313" s="92"/>
      <c r="O313" s="110"/>
    </row>
    <row r="314" spans="14:15" x14ac:dyDescent="0.2">
      <c r="N314" s="92"/>
      <c r="O314" s="110"/>
    </row>
    <row r="315" spans="14:15" x14ac:dyDescent="0.2">
      <c r="N315" s="92"/>
      <c r="O315" s="110"/>
    </row>
    <row r="316" spans="14:15" x14ac:dyDescent="0.2">
      <c r="N316" s="92"/>
      <c r="O316" s="110"/>
    </row>
    <row r="317" spans="14:15" x14ac:dyDescent="0.2">
      <c r="N317" s="92"/>
      <c r="O317" s="110"/>
    </row>
    <row r="318" spans="14:15" x14ac:dyDescent="0.2">
      <c r="N318" s="92"/>
      <c r="O318" s="110"/>
    </row>
    <row r="319" spans="14:15" x14ac:dyDescent="0.2">
      <c r="N319" s="92"/>
      <c r="O319" s="110"/>
    </row>
    <row r="320" spans="14:15" x14ac:dyDescent="0.2">
      <c r="N320" s="92"/>
      <c r="O320" s="110"/>
    </row>
    <row r="321" spans="14:15" x14ac:dyDescent="0.2">
      <c r="N321" s="92"/>
      <c r="O321" s="110"/>
    </row>
    <row r="322" spans="14:15" x14ac:dyDescent="0.2">
      <c r="N322" s="92"/>
      <c r="O322" s="110"/>
    </row>
    <row r="323" spans="14:15" x14ac:dyDescent="0.2">
      <c r="N323" s="92"/>
      <c r="O323" s="110"/>
    </row>
    <row r="324" spans="14:15" x14ac:dyDescent="0.2">
      <c r="N324" s="92"/>
      <c r="O324" s="110"/>
    </row>
    <row r="325" spans="14:15" x14ac:dyDescent="0.2">
      <c r="N325" s="92"/>
      <c r="O325" s="110"/>
    </row>
    <row r="326" spans="14:15" x14ac:dyDescent="0.2">
      <c r="N326" s="92"/>
      <c r="O326" s="110"/>
    </row>
    <row r="327" spans="14:15" x14ac:dyDescent="0.2">
      <c r="N327" s="92"/>
      <c r="O327" s="110"/>
    </row>
    <row r="328" spans="14:15" x14ac:dyDescent="0.2">
      <c r="N328" s="92"/>
      <c r="O328" s="110"/>
    </row>
    <row r="329" spans="14:15" x14ac:dyDescent="0.2">
      <c r="N329" s="92"/>
      <c r="O329" s="110"/>
    </row>
    <row r="330" spans="14:15" x14ac:dyDescent="0.2">
      <c r="N330" s="92"/>
      <c r="O330" s="110"/>
    </row>
    <row r="331" spans="14:15" x14ac:dyDescent="0.2">
      <c r="N331" s="92"/>
      <c r="O331" s="110"/>
    </row>
    <row r="332" spans="14:15" x14ac:dyDescent="0.2">
      <c r="N332" s="92"/>
      <c r="O332" s="110"/>
    </row>
    <row r="333" spans="14:15" x14ac:dyDescent="0.2">
      <c r="N333" s="92"/>
      <c r="O333" s="110"/>
    </row>
    <row r="334" spans="14:15" x14ac:dyDescent="0.2">
      <c r="N334" s="92"/>
      <c r="O334" s="110"/>
    </row>
    <row r="335" spans="14:15" x14ac:dyDescent="0.2">
      <c r="N335" s="92"/>
      <c r="O335" s="110"/>
    </row>
    <row r="336" spans="14:15" x14ac:dyDescent="0.2">
      <c r="N336" s="92"/>
      <c r="O336" s="110"/>
    </row>
    <row r="337" spans="4:17" x14ac:dyDescent="0.2">
      <c r="N337" s="92"/>
      <c r="O337" s="110"/>
    </row>
    <row r="338" spans="4:17" x14ac:dyDescent="0.2">
      <c r="N338" s="92"/>
      <c r="O338" s="110"/>
    </row>
    <row r="339" spans="4:17" x14ac:dyDescent="0.2">
      <c r="N339" s="92"/>
      <c r="O339" s="110"/>
    </row>
    <row r="340" spans="4:17" x14ac:dyDescent="0.2">
      <c r="N340" s="92"/>
      <c r="O340" s="110"/>
    </row>
    <row r="341" spans="4:17" x14ac:dyDescent="0.2">
      <c r="N341" s="92"/>
      <c r="O341" s="110"/>
    </row>
    <row r="342" spans="4:17" x14ac:dyDescent="0.2">
      <c r="N342" s="92"/>
      <c r="O342" s="110"/>
    </row>
    <row r="343" spans="4:17" x14ac:dyDescent="0.2">
      <c r="N343" s="92"/>
      <c r="O343" s="110"/>
    </row>
    <row r="344" spans="4:17" x14ac:dyDescent="0.2">
      <c r="N344" s="92"/>
      <c r="O344" s="110"/>
    </row>
    <row r="345" spans="4:17" x14ac:dyDescent="0.2">
      <c r="N345" s="92"/>
      <c r="O345" s="110"/>
    </row>
    <row r="346" spans="4:17" x14ac:dyDescent="0.2">
      <c r="N346" s="92"/>
      <c r="O346" s="110"/>
    </row>
    <row r="347" spans="4:17" x14ac:dyDescent="0.2">
      <c r="N347" s="92"/>
      <c r="O347" s="110"/>
    </row>
    <row r="348" spans="4:17" x14ac:dyDescent="0.2">
      <c r="N348" s="92"/>
      <c r="O348" s="110"/>
      <c r="Q348" s="60"/>
    </row>
    <row r="351" spans="4:17" x14ac:dyDescent="0.2">
      <c r="D351" s="112"/>
      <c r="E351" s="113"/>
      <c r="F351" s="60"/>
      <c r="G351" s="60"/>
    </row>
    <row r="352" spans="4:17" x14ac:dyDescent="0.2">
      <c r="D352" s="114"/>
      <c r="E352" s="113"/>
      <c r="F352" s="60"/>
      <c r="G352" s="60"/>
    </row>
    <row r="353" spans="3:20" x14ac:dyDescent="0.2">
      <c r="D353" s="112"/>
      <c r="E353" s="113"/>
      <c r="F353" s="60"/>
      <c r="G353" s="60"/>
    </row>
    <row r="354" spans="3:20" x14ac:dyDescent="0.2">
      <c r="D354" s="114"/>
      <c r="E354" s="113"/>
      <c r="F354" s="60"/>
      <c r="G354" s="60"/>
    </row>
    <row r="355" spans="3:20" x14ac:dyDescent="0.2">
      <c r="D355" s="114"/>
      <c r="E355" s="113"/>
      <c r="F355" s="60"/>
      <c r="G355" s="60"/>
    </row>
    <row r="356" spans="3:20" x14ac:dyDescent="0.2">
      <c r="E356" s="80"/>
    </row>
    <row r="362" spans="3:20" x14ac:dyDescent="0.2">
      <c r="C362" s="14"/>
      <c r="D362" s="110"/>
      <c r="J362" s="110"/>
      <c r="P362" s="110"/>
    </row>
    <row r="363" spans="3:20" x14ac:dyDescent="0.2">
      <c r="C363" s="14"/>
      <c r="D363" s="110"/>
      <c r="J363" s="110"/>
      <c r="P363" s="110"/>
    </row>
    <row r="364" spans="3:20" ht="19" x14ac:dyDescent="0.2">
      <c r="C364" s="14"/>
      <c r="J364" s="972"/>
      <c r="K364" s="972"/>
      <c r="L364" s="972"/>
      <c r="M364" s="972"/>
      <c r="N364" s="972"/>
      <c r="P364" s="972"/>
      <c r="Q364" s="972"/>
      <c r="R364" s="972"/>
      <c r="S364" s="972"/>
      <c r="T364" s="972"/>
    </row>
    <row r="365" spans="3:20" x14ac:dyDescent="0.2">
      <c r="C365" s="14"/>
      <c r="J365" s="787"/>
      <c r="K365" s="5"/>
      <c r="L365" s="5"/>
      <c r="M365" s="5"/>
      <c r="N365" s="5"/>
      <c r="P365" s="787"/>
      <c r="Q365" s="5"/>
      <c r="R365" s="5"/>
      <c r="S365" s="5"/>
      <c r="T365" s="5"/>
    </row>
    <row r="366" spans="3:20" x14ac:dyDescent="0.2">
      <c r="C366" s="14"/>
      <c r="J366" s="787"/>
      <c r="L366" s="19"/>
      <c r="M366" s="60"/>
      <c r="N366" s="18"/>
      <c r="P366" s="787"/>
      <c r="R366" s="19"/>
      <c r="S366" s="60"/>
      <c r="T366" s="18"/>
    </row>
    <row r="367" spans="3:20" x14ac:dyDescent="0.2">
      <c r="C367" s="14"/>
      <c r="J367" s="787"/>
      <c r="L367" s="971"/>
      <c r="M367" s="971"/>
      <c r="N367" s="13"/>
      <c r="P367" s="787"/>
      <c r="R367" s="971"/>
      <c r="S367" s="971"/>
      <c r="T367" s="13"/>
    </row>
    <row r="368" spans="3:20" x14ac:dyDescent="0.2">
      <c r="C368" s="14"/>
    </row>
    <row r="369" spans="3:20" x14ac:dyDescent="0.2">
      <c r="C369" s="14"/>
      <c r="J369" s="787"/>
      <c r="K369" s="5"/>
      <c r="L369" s="5"/>
      <c r="M369" s="5"/>
      <c r="N369" s="5"/>
      <c r="P369" s="787"/>
      <c r="Q369" s="5"/>
      <c r="R369" s="5"/>
      <c r="S369" s="5"/>
      <c r="T369" s="5"/>
    </row>
    <row r="370" spans="3:20" x14ac:dyDescent="0.2">
      <c r="C370" s="14"/>
      <c r="J370" s="787"/>
      <c r="L370" s="19"/>
      <c r="M370" s="60"/>
      <c r="N370" s="18"/>
      <c r="P370" s="787"/>
      <c r="R370" s="19"/>
      <c r="S370" s="60"/>
      <c r="T370" s="18"/>
    </row>
    <row r="371" spans="3:20" x14ac:dyDescent="0.2">
      <c r="C371" s="14"/>
      <c r="J371" s="787"/>
      <c r="L371" s="19"/>
      <c r="M371" s="60"/>
      <c r="N371" s="18"/>
      <c r="P371" s="787"/>
      <c r="R371" s="19"/>
      <c r="S371" s="60"/>
      <c r="T371" s="18"/>
    </row>
    <row r="372" spans="3:20" x14ac:dyDescent="0.2">
      <c r="C372" s="14"/>
      <c r="J372" s="787"/>
      <c r="L372" s="19"/>
      <c r="M372" s="60"/>
      <c r="N372" s="18"/>
      <c r="P372" s="787"/>
      <c r="R372" s="19"/>
      <c r="S372" s="60"/>
      <c r="T372" s="18"/>
    </row>
    <row r="373" spans="3:20" x14ac:dyDescent="0.2">
      <c r="C373" s="14"/>
      <c r="J373" s="787"/>
      <c r="L373" s="19"/>
      <c r="M373" s="60"/>
      <c r="N373" s="18"/>
      <c r="P373" s="787"/>
      <c r="R373" s="19"/>
      <c r="S373" s="60"/>
      <c r="T373" s="18"/>
    </row>
    <row r="374" spans="3:20" x14ac:dyDescent="0.2">
      <c r="J374" s="787"/>
      <c r="L374" s="19"/>
      <c r="M374" s="60"/>
      <c r="N374" s="18"/>
      <c r="P374" s="787"/>
      <c r="R374" s="19"/>
      <c r="S374" s="60"/>
      <c r="T374" s="18"/>
    </row>
    <row r="375" spans="3:20" x14ac:dyDescent="0.2">
      <c r="J375" s="787"/>
      <c r="L375" s="19"/>
      <c r="M375" s="60"/>
      <c r="N375" s="18"/>
      <c r="P375" s="787"/>
      <c r="R375" s="19"/>
      <c r="S375" s="60"/>
      <c r="T375" s="18"/>
    </row>
    <row r="376" spans="3:20" x14ac:dyDescent="0.2">
      <c r="J376" s="787"/>
      <c r="L376" s="19"/>
      <c r="M376" s="60"/>
      <c r="N376" s="18"/>
      <c r="P376" s="787"/>
      <c r="R376" s="19"/>
      <c r="S376" s="60"/>
      <c r="T376" s="18"/>
    </row>
    <row r="377" spans="3:20" x14ac:dyDescent="0.2">
      <c r="J377" s="787"/>
      <c r="L377" s="19"/>
      <c r="M377" s="60"/>
      <c r="N377" s="18"/>
      <c r="P377" s="787"/>
      <c r="R377" s="19"/>
      <c r="S377" s="60"/>
      <c r="T377" s="18"/>
    </row>
    <row r="378" spans="3:20" x14ac:dyDescent="0.2">
      <c r="J378" s="787"/>
      <c r="L378" s="19"/>
      <c r="M378" s="60"/>
      <c r="N378" s="18"/>
      <c r="P378" s="787"/>
      <c r="R378" s="19"/>
      <c r="S378" s="60"/>
      <c r="T378" s="18"/>
    </row>
    <row r="379" spans="3:20" x14ac:dyDescent="0.2">
      <c r="J379" s="787"/>
      <c r="L379" s="19"/>
      <c r="M379" s="60"/>
      <c r="N379" s="18"/>
      <c r="P379" s="787"/>
      <c r="R379" s="19"/>
      <c r="S379" s="60"/>
      <c r="T379" s="18"/>
    </row>
    <row r="380" spans="3:20" x14ac:dyDescent="0.2">
      <c r="J380" s="787"/>
      <c r="L380" s="19"/>
      <c r="M380" s="60"/>
      <c r="N380" s="18"/>
      <c r="P380" s="787"/>
      <c r="R380" s="19"/>
      <c r="S380" s="60"/>
      <c r="T380" s="18"/>
    </row>
    <row r="381" spans="3:20" x14ac:dyDescent="0.2">
      <c r="J381" s="787"/>
      <c r="L381" s="19"/>
      <c r="M381" s="60"/>
      <c r="N381" s="18"/>
      <c r="P381" s="787"/>
      <c r="R381" s="19"/>
      <c r="S381" s="60"/>
      <c r="T381" s="18"/>
    </row>
    <row r="382" spans="3:20" x14ac:dyDescent="0.2">
      <c r="J382" s="787"/>
      <c r="L382" s="19"/>
      <c r="M382" s="60"/>
      <c r="N382" s="18"/>
      <c r="P382" s="787"/>
      <c r="R382" s="19"/>
      <c r="S382" s="60"/>
      <c r="T382" s="18"/>
    </row>
    <row r="383" spans="3:20" x14ac:dyDescent="0.2">
      <c r="J383" s="787"/>
      <c r="L383" s="970"/>
      <c r="M383" s="970"/>
      <c r="N383" s="82"/>
      <c r="P383" s="787"/>
      <c r="R383" s="970"/>
      <c r="S383" s="970"/>
      <c r="T383" s="82"/>
    </row>
    <row r="384" spans="3:20" x14ac:dyDescent="0.2">
      <c r="D384" s="38"/>
      <c r="P384" s="12"/>
    </row>
    <row r="385" spans="3:16" x14ac:dyDescent="0.2">
      <c r="D385" s="38"/>
      <c r="P385" s="12"/>
    </row>
    <row r="386" spans="3:16" x14ac:dyDescent="0.2">
      <c r="D386" s="38"/>
      <c r="P386" s="12"/>
    </row>
    <row r="387" spans="3:16" x14ac:dyDescent="0.2">
      <c r="P387" s="12"/>
    </row>
    <row r="388" spans="3:16" x14ac:dyDescent="0.2">
      <c r="P388" s="12"/>
    </row>
    <row r="389" spans="3:16" x14ac:dyDescent="0.2">
      <c r="P389" s="12"/>
    </row>
    <row r="390" spans="3:16" x14ac:dyDescent="0.2">
      <c r="P390" s="12"/>
    </row>
    <row r="391" spans="3:16" x14ac:dyDescent="0.2">
      <c r="C391" s="12"/>
      <c r="P391" s="12"/>
    </row>
    <row r="392" spans="3:16" x14ac:dyDescent="0.2">
      <c r="C392" s="12"/>
      <c r="P392" s="12"/>
    </row>
    <row r="393" spans="3:16" x14ac:dyDescent="0.2">
      <c r="C393" s="12"/>
      <c r="P393" s="12"/>
    </row>
    <row r="394" spans="3:16" x14ac:dyDescent="0.2">
      <c r="P394" s="12"/>
    </row>
    <row r="395" spans="3:16" x14ac:dyDescent="0.2">
      <c r="P395" s="12"/>
    </row>
    <row r="396" spans="3:16" x14ac:dyDescent="0.2">
      <c r="P396" s="12"/>
    </row>
    <row r="397" spans="3:16" x14ac:dyDescent="0.2">
      <c r="P397" s="12"/>
    </row>
    <row r="398" spans="3:16" x14ac:dyDescent="0.2">
      <c r="C398" s="14"/>
      <c r="M398" s="19"/>
      <c r="P398" s="12"/>
    </row>
    <row r="399" spans="3:16" x14ac:dyDescent="0.2">
      <c r="C399" s="14"/>
      <c r="M399" s="19"/>
      <c r="P399" s="12"/>
    </row>
    <row r="400" spans="3:16" x14ac:dyDescent="0.2">
      <c r="C400" s="14"/>
      <c r="M400" s="19"/>
      <c r="P400" s="12"/>
    </row>
    <row r="401" spans="3:16" x14ac:dyDescent="0.2">
      <c r="C401" s="14"/>
      <c r="M401" s="19"/>
      <c r="P401" s="12"/>
    </row>
    <row r="402" spans="3:16" x14ac:dyDescent="0.2">
      <c r="C402" s="14"/>
      <c r="P402" s="12"/>
    </row>
    <row r="403" spans="3:16" x14ac:dyDescent="0.2">
      <c r="P403" s="12"/>
    </row>
    <row r="404" spans="3:16" x14ac:dyDescent="0.2">
      <c r="P404" s="12"/>
    </row>
  </sheetData>
  <sheetProtection algorithmName="SHA-512" hashValue="tuTPqxZx6Xr8/30n95NIxgrwu0j1KZXWUbzcSA8IZ77J1gzJPj7NhAeUgEBhsRTPXeF+vYjGaQE/6n/BaOVjpQ==" saltValue="Yrm+WVQutkFKXxJrPRr4hA==" spinCount="100000" sheet="1" objects="1" scenarios="1"/>
  <mergeCells count="257">
    <mergeCell ref="F18:J18"/>
    <mergeCell ref="F19:J19"/>
    <mergeCell ref="J229:L229"/>
    <mergeCell ref="J237:L237"/>
    <mergeCell ref="G289:I289"/>
    <mergeCell ref="G288:I288"/>
    <mergeCell ref="G290:H290"/>
    <mergeCell ref="G291:H291"/>
    <mergeCell ref="G292:H292"/>
    <mergeCell ref="K289:L289"/>
    <mergeCell ref="K288:L288"/>
    <mergeCell ref="H29:J29"/>
    <mergeCell ref="H30:J30"/>
    <mergeCell ref="G31:J31"/>
    <mergeCell ref="G32:J32"/>
    <mergeCell ref="H33:J33"/>
    <mergeCell ref="H46:J46"/>
    <mergeCell ref="H47:J47"/>
    <mergeCell ref="H48:J48"/>
    <mergeCell ref="H49:J49"/>
    <mergeCell ref="H50:J50"/>
    <mergeCell ref="G51:J51"/>
    <mergeCell ref="H40:J40"/>
    <mergeCell ref="G41:J41"/>
    <mergeCell ref="O256:P260"/>
    <mergeCell ref="O255:P255"/>
    <mergeCell ref="E22:J22"/>
    <mergeCell ref="F23:J23"/>
    <mergeCell ref="G24:J24"/>
    <mergeCell ref="H25:J25"/>
    <mergeCell ref="H26:J26"/>
    <mergeCell ref="H27:J27"/>
    <mergeCell ref="B3:B226"/>
    <mergeCell ref="O7:O8"/>
    <mergeCell ref="O9:O10"/>
    <mergeCell ref="D14:J14"/>
    <mergeCell ref="D15:J15"/>
    <mergeCell ref="E16:J16"/>
    <mergeCell ref="F17:J17"/>
    <mergeCell ref="G20:J20"/>
    <mergeCell ref="G21:J21"/>
    <mergeCell ref="H34:J34"/>
    <mergeCell ref="G35:J35"/>
    <mergeCell ref="H36:J36"/>
    <mergeCell ref="H37:J37"/>
    <mergeCell ref="I38:J38"/>
    <mergeCell ref="I39:J39"/>
    <mergeCell ref="G28:J28"/>
    <mergeCell ref="H42:J42"/>
    <mergeCell ref="H43:J43"/>
    <mergeCell ref="H44:J44"/>
    <mergeCell ref="G45:J45"/>
    <mergeCell ref="G58:J58"/>
    <mergeCell ref="G59:J59"/>
    <mergeCell ref="H60:J60"/>
    <mergeCell ref="H61:J61"/>
    <mergeCell ref="H62:J62"/>
    <mergeCell ref="G63:J63"/>
    <mergeCell ref="H52:J52"/>
    <mergeCell ref="H53:J53"/>
    <mergeCell ref="H54:J54"/>
    <mergeCell ref="H55:J55"/>
    <mergeCell ref="F56:J56"/>
    <mergeCell ref="G57:J57"/>
    <mergeCell ref="I70:J70"/>
    <mergeCell ref="I71:J71"/>
    <mergeCell ref="H72:J72"/>
    <mergeCell ref="I73:J73"/>
    <mergeCell ref="I74:J74"/>
    <mergeCell ref="I75:J75"/>
    <mergeCell ref="G64:J64"/>
    <mergeCell ref="H65:J65"/>
    <mergeCell ref="H66:J66"/>
    <mergeCell ref="F67:J67"/>
    <mergeCell ref="G68:J68"/>
    <mergeCell ref="H69:J69"/>
    <mergeCell ref="H82:J82"/>
    <mergeCell ref="I83:J83"/>
    <mergeCell ref="I84:J84"/>
    <mergeCell ref="I85:J85"/>
    <mergeCell ref="I86:J86"/>
    <mergeCell ref="I87:J87"/>
    <mergeCell ref="I76:J76"/>
    <mergeCell ref="I77:J77"/>
    <mergeCell ref="H78:J78"/>
    <mergeCell ref="H79:J79"/>
    <mergeCell ref="G80:J80"/>
    <mergeCell ref="H81:J81"/>
    <mergeCell ref="H94:J94"/>
    <mergeCell ref="H95:J95"/>
    <mergeCell ref="H96:J96"/>
    <mergeCell ref="G97:J97"/>
    <mergeCell ref="H98:J98"/>
    <mergeCell ref="I99:J99"/>
    <mergeCell ref="H88:J88"/>
    <mergeCell ref="H89:J89"/>
    <mergeCell ref="G90:J90"/>
    <mergeCell ref="H91:J91"/>
    <mergeCell ref="H92:J92"/>
    <mergeCell ref="H93:J93"/>
    <mergeCell ref="H106:J106"/>
    <mergeCell ref="I107:J107"/>
    <mergeCell ref="I108:J108"/>
    <mergeCell ref="I109:J109"/>
    <mergeCell ref="I110:J110"/>
    <mergeCell ref="I111:J111"/>
    <mergeCell ref="I100:J100"/>
    <mergeCell ref="I101:J101"/>
    <mergeCell ref="I102:J102"/>
    <mergeCell ref="I103:J103"/>
    <mergeCell ref="I104:J104"/>
    <mergeCell ref="I105:J105"/>
    <mergeCell ref="I118:J118"/>
    <mergeCell ref="I119:J119"/>
    <mergeCell ref="I120:J120"/>
    <mergeCell ref="I121:J121"/>
    <mergeCell ref="I122:J122"/>
    <mergeCell ref="I123:J123"/>
    <mergeCell ref="I112:J112"/>
    <mergeCell ref="H113:J113"/>
    <mergeCell ref="I114:J114"/>
    <mergeCell ref="I115:J115"/>
    <mergeCell ref="I116:J116"/>
    <mergeCell ref="I117:J117"/>
    <mergeCell ref="I130:J130"/>
    <mergeCell ref="I131:J131"/>
    <mergeCell ref="I132:J132"/>
    <mergeCell ref="I133:J133"/>
    <mergeCell ref="I134:J134"/>
    <mergeCell ref="I135:J135"/>
    <mergeCell ref="H124:J124"/>
    <mergeCell ref="I125:J125"/>
    <mergeCell ref="I126:J126"/>
    <mergeCell ref="I127:J127"/>
    <mergeCell ref="I128:J128"/>
    <mergeCell ref="I129:J129"/>
    <mergeCell ref="H142:J142"/>
    <mergeCell ref="I143:J143"/>
    <mergeCell ref="I144:J144"/>
    <mergeCell ref="I145:J145"/>
    <mergeCell ref="I146:J146"/>
    <mergeCell ref="I147:J147"/>
    <mergeCell ref="G136:J136"/>
    <mergeCell ref="H137:J137"/>
    <mergeCell ref="H138:J138"/>
    <mergeCell ref="I139:J139"/>
    <mergeCell ref="I140:J140"/>
    <mergeCell ref="H141:J141"/>
    <mergeCell ref="I154:J154"/>
    <mergeCell ref="H155:J155"/>
    <mergeCell ref="H156:J156"/>
    <mergeCell ref="G157:J157"/>
    <mergeCell ref="H158:J158"/>
    <mergeCell ref="H159:J159"/>
    <mergeCell ref="I148:J148"/>
    <mergeCell ref="I149:J149"/>
    <mergeCell ref="H150:J150"/>
    <mergeCell ref="I151:J151"/>
    <mergeCell ref="I152:J152"/>
    <mergeCell ref="I153:J153"/>
    <mergeCell ref="F166:J166"/>
    <mergeCell ref="F167:J167"/>
    <mergeCell ref="G168:J168"/>
    <mergeCell ref="H169:J169"/>
    <mergeCell ref="H170:J170"/>
    <mergeCell ref="H171:J171"/>
    <mergeCell ref="H160:J160"/>
    <mergeCell ref="H161:J161"/>
    <mergeCell ref="I162:J162"/>
    <mergeCell ref="I163:J163"/>
    <mergeCell ref="I164:J164"/>
    <mergeCell ref="H165:J165"/>
    <mergeCell ref="H178:J178"/>
    <mergeCell ref="H179:J179"/>
    <mergeCell ref="F180:J180"/>
    <mergeCell ref="G181:J181"/>
    <mergeCell ref="H182:J182"/>
    <mergeCell ref="H183:J183"/>
    <mergeCell ref="H172:J172"/>
    <mergeCell ref="H173:J173"/>
    <mergeCell ref="G174:J174"/>
    <mergeCell ref="G175:J175"/>
    <mergeCell ref="G176:J176"/>
    <mergeCell ref="H177:J177"/>
    <mergeCell ref="H190:J190"/>
    <mergeCell ref="I191:J191"/>
    <mergeCell ref="I192:J192"/>
    <mergeCell ref="I193:J193"/>
    <mergeCell ref="I194:J194"/>
    <mergeCell ref="H195:J195"/>
    <mergeCell ref="H184:J184"/>
    <mergeCell ref="H185:J185"/>
    <mergeCell ref="G186:J186"/>
    <mergeCell ref="H187:J187"/>
    <mergeCell ref="H188:J188"/>
    <mergeCell ref="G189:J189"/>
    <mergeCell ref="J369:J383"/>
    <mergeCell ref="P369:P383"/>
    <mergeCell ref="L383:M383"/>
    <mergeCell ref="R383:S383"/>
    <mergeCell ref="J364:N364"/>
    <mergeCell ref="P364:T364"/>
    <mergeCell ref="J365:J367"/>
    <mergeCell ref="P365:P367"/>
    <mergeCell ref="L367:M367"/>
    <mergeCell ref="R367:S367"/>
    <mergeCell ref="G226:J226"/>
    <mergeCell ref="G214:J214"/>
    <mergeCell ref="G215:J215"/>
    <mergeCell ref="G216:J216"/>
    <mergeCell ref="G217:J217"/>
    <mergeCell ref="G218:J218"/>
    <mergeCell ref="E219:J219"/>
    <mergeCell ref="H208:J208"/>
    <mergeCell ref="H209:J209"/>
    <mergeCell ref="H210:J210"/>
    <mergeCell ref="G211:J211"/>
    <mergeCell ref="F212:J212"/>
    <mergeCell ref="F220:J220"/>
    <mergeCell ref="F221:J221"/>
    <mergeCell ref="F222:J222"/>
    <mergeCell ref="F223:J223"/>
    <mergeCell ref="G224:J224"/>
    <mergeCell ref="G225:J225"/>
    <mergeCell ref="G213:J213"/>
    <mergeCell ref="I203:J203"/>
    <mergeCell ref="H204:J204"/>
    <mergeCell ref="I205:J205"/>
    <mergeCell ref="I206:J206"/>
    <mergeCell ref="G207:J207"/>
    <mergeCell ref="I196:J196"/>
    <mergeCell ref="I197:J197"/>
    <mergeCell ref="I198:J198"/>
    <mergeCell ref="I199:J199"/>
    <mergeCell ref="I202:J202"/>
    <mergeCell ref="I200:J200"/>
    <mergeCell ref="H201:J201"/>
    <mergeCell ref="B288:B293"/>
    <mergeCell ref="D262:M262"/>
    <mergeCell ref="J255:K255"/>
    <mergeCell ref="L255:M255"/>
    <mergeCell ref="B255:B284"/>
    <mergeCell ref="D256:I260"/>
    <mergeCell ref="D263:I268"/>
    <mergeCell ref="K268:L268"/>
    <mergeCell ref="D270:I284"/>
    <mergeCell ref="K284:L284"/>
    <mergeCell ref="G293:H293"/>
    <mergeCell ref="D5:I5"/>
    <mergeCell ref="D6:I6"/>
    <mergeCell ref="D8:I8"/>
    <mergeCell ref="D7:I7"/>
    <mergeCell ref="D4:J4"/>
    <mergeCell ref="L4:N5"/>
    <mergeCell ref="L6:N10"/>
    <mergeCell ref="D12:N13"/>
    <mergeCell ref="D9:I9"/>
  </mergeCells>
  <hyperlinks>
    <hyperlink ref="N20" r:id="rId1" xr:uid="{84353A42-B235-444A-97E8-AD13F803531C}"/>
    <hyperlink ref="N18" r:id="rId2" xr:uid="{A1B364F5-BDE1-A646-91DB-4DE21B024CB1}"/>
    <hyperlink ref="N17" r:id="rId3" xr:uid="{D01E8470-1A6C-D14B-B595-DD958DDBC6E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BD95E-AD5D-794B-8055-505D82BAC89A}">
  <dimension ref="B1:AD176"/>
  <sheetViews>
    <sheetView zoomScaleNormal="100" workbookViewId="0">
      <selection activeCell="E105" sqref="E105"/>
    </sheetView>
  </sheetViews>
  <sheetFormatPr baseColWidth="10" defaultColWidth="8.83203125" defaultRowHeight="15" x14ac:dyDescent="0.2"/>
  <cols>
    <col min="1" max="1" width="5.83203125" style="1" customWidth="1"/>
    <col min="2" max="2" width="8.83203125" style="1"/>
    <col min="3" max="3" width="5.6640625" style="1" customWidth="1"/>
    <col min="4" max="4" width="33" style="1" bestFit="1" customWidth="1"/>
    <col min="5" max="5" width="35.1640625" style="1" bestFit="1" customWidth="1"/>
    <col min="6" max="6" width="23.83203125" style="1" bestFit="1" customWidth="1"/>
    <col min="7" max="7" width="21.6640625" style="1" customWidth="1"/>
    <col min="8" max="8" width="13.1640625" style="1" bestFit="1" customWidth="1"/>
    <col min="9" max="9" width="23.5" style="1" bestFit="1" customWidth="1"/>
    <col min="10" max="10" width="26.6640625" style="1" customWidth="1"/>
    <col min="11" max="11" width="23.1640625" style="1" customWidth="1"/>
    <col min="12" max="12" width="21.6640625" style="1" customWidth="1"/>
    <col min="13" max="13" width="20.33203125" style="1" customWidth="1"/>
    <col min="14" max="14" width="36.6640625" style="1" bestFit="1" customWidth="1"/>
    <col min="15" max="15" width="12.33203125" style="1" bestFit="1" customWidth="1"/>
    <col min="16" max="16" width="11.1640625" style="1" bestFit="1" customWidth="1"/>
    <col min="17" max="17" width="12.33203125" style="1" bestFit="1" customWidth="1"/>
    <col min="18" max="18" width="12.1640625" style="1" bestFit="1" customWidth="1"/>
    <col min="19" max="19" width="31" style="1" bestFit="1" customWidth="1"/>
    <col min="20" max="20" width="21.5" style="1" bestFit="1" customWidth="1"/>
    <col min="21" max="21" width="11.6640625" style="1" customWidth="1"/>
    <col min="22" max="22" width="20.5" style="1" customWidth="1"/>
    <col min="23" max="23" width="35.1640625" style="1" bestFit="1" customWidth="1"/>
    <col min="24" max="24" width="12.33203125" style="1" bestFit="1" customWidth="1"/>
    <col min="25" max="25" width="12.83203125" style="1" customWidth="1"/>
    <col min="26" max="26" width="11.1640625" style="1" customWidth="1"/>
    <col min="27" max="27" width="12.1640625" style="1" bestFit="1" customWidth="1"/>
    <col min="28" max="28" width="31" style="1" bestFit="1" customWidth="1"/>
    <col min="29" max="29" width="21.5" style="1" bestFit="1" customWidth="1"/>
    <col min="30" max="16384" width="8.83203125" style="1"/>
  </cols>
  <sheetData>
    <row r="1" spans="2:14" x14ac:dyDescent="0.2">
      <c r="B1" s="12"/>
    </row>
    <row r="2" spans="2:14" ht="15" customHeight="1" thickBot="1" x14ac:dyDescent="0.25">
      <c r="B2" s="12"/>
    </row>
    <row r="3" spans="2:14" ht="19" x14ac:dyDescent="0.25">
      <c r="B3" s="757" t="s">
        <v>25</v>
      </c>
      <c r="D3" s="848" t="s">
        <v>18</v>
      </c>
      <c r="E3" s="878"/>
      <c r="F3" s="878"/>
      <c r="G3" s="849"/>
      <c r="H3" s="4"/>
      <c r="I3" s="848" t="s">
        <v>16</v>
      </c>
      <c r="J3" s="878"/>
      <c r="K3" s="878"/>
      <c r="L3" s="849"/>
    </row>
    <row r="4" spans="2:14" ht="36" customHeight="1" thickBot="1" x14ac:dyDescent="0.25">
      <c r="B4" s="758"/>
      <c r="D4" s="291" t="s">
        <v>531</v>
      </c>
      <c r="E4" s="300" t="s">
        <v>14</v>
      </c>
      <c r="F4" s="300" t="s">
        <v>20</v>
      </c>
      <c r="G4" s="301" t="s">
        <v>15</v>
      </c>
      <c r="H4" s="5"/>
      <c r="I4" s="451"/>
      <c r="J4" s="366" t="s">
        <v>78</v>
      </c>
      <c r="K4" s="366" t="s">
        <v>79</v>
      </c>
      <c r="L4" s="367" t="s">
        <v>80</v>
      </c>
    </row>
    <row r="5" spans="2:14" x14ac:dyDescent="0.2">
      <c r="B5" s="758"/>
      <c r="D5" s="332" t="s">
        <v>34</v>
      </c>
      <c r="E5" s="683" t="str">
        <f>'1. MADWEC Installation'!E5</f>
        <v>41.2354° N, 71.0237° W</v>
      </c>
      <c r="F5" s="340" t="str">
        <f>'1. MADWEC Installation'!F5</f>
        <v>40.9334° N, 70.7985° W</v>
      </c>
      <c r="G5" s="341" t="str">
        <f>'1. MADWEC Installation'!G5</f>
        <v>59.0605° N, 152.0117° W</v>
      </c>
      <c r="H5" s="60"/>
      <c r="I5" s="373" t="s">
        <v>93</v>
      </c>
      <c r="J5" s="560">
        <f>'1. MADWEC Installation'!J5</f>
        <v>18</v>
      </c>
      <c r="K5" s="560">
        <f>'1. MADWEC Installation'!K5</f>
        <v>18</v>
      </c>
      <c r="L5" s="639">
        <f>'1. MADWEC Installation'!L5</f>
        <v>10</v>
      </c>
      <c r="M5" s="899" t="s">
        <v>991</v>
      </c>
      <c r="N5" s="896"/>
    </row>
    <row r="6" spans="2:14" x14ac:dyDescent="0.2">
      <c r="B6" s="758"/>
      <c r="D6" s="320" t="s">
        <v>532</v>
      </c>
      <c r="E6" s="684" t="str">
        <f>'1. MADWEC Installation'!E6</f>
        <v>Massachusetts State Waters</v>
      </c>
      <c r="F6" s="325" t="str">
        <f>'1. MADWEC Installation'!F6</f>
        <v>Massachusetts Federal Waters</v>
      </c>
      <c r="G6" s="342" t="str">
        <f>'1. MADWEC Installation'!G6</f>
        <v>Alaska State Waters</v>
      </c>
      <c r="H6" s="60"/>
      <c r="I6" s="323" t="s">
        <v>27</v>
      </c>
      <c r="J6" s="560">
        <f>'1. MADWEC Installation'!J6</f>
        <v>400</v>
      </c>
      <c r="K6" s="560">
        <f>'1. MADWEC Installation'!K6</f>
        <v>400</v>
      </c>
      <c r="L6" s="639">
        <f>'1. MADWEC Installation'!L6</f>
        <v>400</v>
      </c>
      <c r="M6" s="737"/>
      <c r="N6" s="897"/>
    </row>
    <row r="7" spans="2:14" x14ac:dyDescent="0.2">
      <c r="B7" s="758"/>
      <c r="D7" s="320" t="s">
        <v>536</v>
      </c>
      <c r="E7" s="684" t="str">
        <f>'1. MADWEC Installation'!E7</f>
        <v>41.5242° N, 70.6712° W</v>
      </c>
      <c r="F7" s="325" t="str">
        <f>'1. MADWEC Installation'!F7</f>
        <v>41.5242° N, 70.6712° W</v>
      </c>
      <c r="G7" s="342" t="str">
        <f>'1. MADWEC Installation'!G7</f>
        <v>59.6371° N, 151.4522° W</v>
      </c>
      <c r="H7" s="60"/>
      <c r="I7" s="321" t="s">
        <v>74</v>
      </c>
      <c r="J7" s="560">
        <f>'1. MADWEC Installation'!J7</f>
        <v>15000</v>
      </c>
      <c r="K7" s="560">
        <f>'1. MADWEC Installation'!K7</f>
        <v>15000</v>
      </c>
      <c r="L7" s="639">
        <f>'1. MADWEC Installation'!L7</f>
        <v>11375</v>
      </c>
      <c r="M7" s="737"/>
      <c r="N7" s="897"/>
    </row>
    <row r="8" spans="2:14" ht="16" customHeight="1" x14ac:dyDescent="0.2">
      <c r="B8" s="758"/>
      <c r="D8" s="321" t="s">
        <v>540</v>
      </c>
      <c r="E8" s="684" t="str">
        <f>'1. MADWEC Installation'!E8</f>
        <v>WHOI</v>
      </c>
      <c r="F8" s="325" t="str">
        <f>'1. MADWEC Installation'!F8</f>
        <v>WHOI</v>
      </c>
      <c r="G8" s="342" t="str">
        <f>'1. MADWEC Installation'!G8</f>
        <v>City of Homer Port</v>
      </c>
      <c r="H8" s="60"/>
      <c r="I8" s="320" t="s">
        <v>30</v>
      </c>
      <c r="J8" s="560">
        <f>'1. MADWEC Installation'!J8</f>
        <v>1250</v>
      </c>
      <c r="K8" s="560">
        <f>'1. MADWEC Installation'!K8</f>
        <v>1250</v>
      </c>
      <c r="L8" s="639">
        <f>'1. MADWEC Installation'!L8</f>
        <v>947.91666666666663</v>
      </c>
      <c r="M8" s="737"/>
      <c r="N8" s="897"/>
    </row>
    <row r="9" spans="2:14" x14ac:dyDescent="0.2">
      <c r="B9" s="758"/>
      <c r="D9" s="320" t="s">
        <v>542</v>
      </c>
      <c r="E9" s="684">
        <f>'1. MADWEC Installation'!E9</f>
        <v>14</v>
      </c>
      <c r="F9" s="325">
        <f>'1. MADWEC Installation'!F9</f>
        <v>14</v>
      </c>
      <c r="G9" s="342">
        <f>'1. MADWEC Installation'!G9</f>
        <v>0</v>
      </c>
      <c r="H9" s="60"/>
      <c r="I9" s="323" t="s">
        <v>33</v>
      </c>
      <c r="J9" s="560" t="str">
        <f>'1. MADWEC Installation'!J9</f>
        <v>Woods Hole, MA</v>
      </c>
      <c r="K9" s="560" t="str">
        <f>'1. MADWEC Installation'!K9</f>
        <v>Wood's Hole, MA</v>
      </c>
      <c r="L9" s="639" t="str">
        <f>'1. MADWEC Installation'!L9</f>
        <v>Homer, AK</v>
      </c>
      <c r="M9" s="737"/>
      <c r="N9" s="897"/>
    </row>
    <row r="10" spans="2:14" ht="15" customHeight="1" x14ac:dyDescent="0.2">
      <c r="B10" s="758"/>
      <c r="D10" s="322" t="s">
        <v>537</v>
      </c>
      <c r="E10" s="684" t="str">
        <f>'1. MADWEC Installation'!E10</f>
        <v>WHOI</v>
      </c>
      <c r="F10" s="325" t="str">
        <f>'1. MADWEC Installation'!F10</f>
        <v>WHOI</v>
      </c>
      <c r="G10" s="342" t="str">
        <f>'1. MADWEC Installation'!G10</f>
        <v>USFWS</v>
      </c>
      <c r="H10" s="60"/>
      <c r="I10" s="321" t="s">
        <v>0</v>
      </c>
      <c r="J10" s="560">
        <f>'1. MADWEC Installation'!J10</f>
        <v>60</v>
      </c>
      <c r="K10" s="560">
        <f>'1. MADWEC Installation'!K10</f>
        <v>60</v>
      </c>
      <c r="L10" s="639">
        <f>'1. MADWEC Installation'!L10</f>
        <v>120</v>
      </c>
      <c r="M10" s="737"/>
      <c r="N10" s="897"/>
    </row>
    <row r="11" spans="2:14" x14ac:dyDescent="0.2">
      <c r="B11" s="758"/>
      <c r="D11" s="321" t="s">
        <v>538</v>
      </c>
      <c r="E11" s="684" t="str">
        <f>'1. MADWEC Installation'!E11</f>
        <v>41.6362° N, 70.9342° W</v>
      </c>
      <c r="F11" s="325" t="str">
        <f>'1. MADWEC Installation'!F11</f>
        <v>41.6362° N, 70.9342° W</v>
      </c>
      <c r="G11" s="342" t="str">
        <f>'1. MADWEC Installation'!G11</f>
        <v>59.6371° N, 151.4522° W</v>
      </c>
      <c r="H11" s="60"/>
      <c r="I11" s="321" t="s">
        <v>1</v>
      </c>
      <c r="J11" s="560">
        <f>'1. MADWEC Installation'!J11</f>
        <v>17</v>
      </c>
      <c r="K11" s="560">
        <f>'1. MADWEC Installation'!K11</f>
        <v>17</v>
      </c>
      <c r="L11" s="639">
        <f>'1. MADWEC Installation'!L11</f>
        <v>33</v>
      </c>
      <c r="M11" s="737"/>
      <c r="N11" s="897"/>
    </row>
    <row r="12" spans="2:14" ht="16" customHeight="1" x14ac:dyDescent="0.2">
      <c r="B12" s="758"/>
      <c r="D12" s="320" t="s">
        <v>539</v>
      </c>
      <c r="E12" s="684" t="str">
        <f>'1. MADWEC Installation'!E12</f>
        <v>New Bedford Harbor</v>
      </c>
      <c r="F12" s="325" t="str">
        <f>'1. MADWEC Installation'!F12</f>
        <v>New Bedford Harbor</v>
      </c>
      <c r="G12" s="342" t="str">
        <f>'1. MADWEC Installation'!G12</f>
        <v>City of Homer Port</v>
      </c>
      <c r="H12" s="60"/>
      <c r="I12" s="321" t="s">
        <v>2</v>
      </c>
      <c r="J12" s="560">
        <f>'1. MADWEC Installation'!J12</f>
        <v>5</v>
      </c>
      <c r="K12" s="560">
        <f>'1. MADWEC Installation'!K12</f>
        <v>5</v>
      </c>
      <c r="L12" s="639">
        <f>'1. MADWEC Installation'!L12</f>
        <v>11.5</v>
      </c>
      <c r="M12" s="737"/>
      <c r="N12" s="897"/>
    </row>
    <row r="13" spans="2:14" ht="16" thickBot="1" x14ac:dyDescent="0.25">
      <c r="B13" s="758"/>
      <c r="D13" s="331" t="s">
        <v>541</v>
      </c>
      <c r="E13" s="685">
        <f>'1. MADWEC Installation'!E13</f>
        <v>17</v>
      </c>
      <c r="F13" s="375">
        <f>'1. MADWEC Installation'!F13</f>
        <v>48</v>
      </c>
      <c r="G13" s="376">
        <f>'1. MADWEC Installation'!G13</f>
        <v>46</v>
      </c>
      <c r="H13" s="60"/>
      <c r="I13" s="321" t="s">
        <v>86</v>
      </c>
      <c r="J13" s="560">
        <f>'1. MADWEC Installation'!J13</f>
        <v>4600</v>
      </c>
      <c r="K13" s="560">
        <f>'1. MADWEC Installation'!K13</f>
        <v>4600</v>
      </c>
      <c r="L13" s="639">
        <f>'1. MADWEC Installation'!L13</f>
        <v>2000</v>
      </c>
      <c r="M13" s="737"/>
      <c r="N13" s="897"/>
    </row>
    <row r="14" spans="2:14" ht="33" thickBot="1" x14ac:dyDescent="0.25">
      <c r="B14" s="758"/>
      <c r="D14" s="110"/>
      <c r="E14" s="52"/>
      <c r="F14" s="111"/>
      <c r="G14" s="59"/>
      <c r="H14" s="60"/>
      <c r="I14" s="321" t="s">
        <v>3</v>
      </c>
      <c r="J14" s="686" t="str">
        <f>'1. MADWEC Installation'!J14</f>
        <v>Woods Hole Oceanographic Institution</v>
      </c>
      <c r="K14" s="686" t="str">
        <f>'1. MADWEC Installation'!K14</f>
        <v>Woods Hole Oceanographic Institution</v>
      </c>
      <c r="L14" s="639" t="str">
        <f>'1. MADWEC Installation'!L14</f>
        <v>USFWS</v>
      </c>
      <c r="M14" s="737"/>
      <c r="N14" s="897"/>
    </row>
    <row r="15" spans="2:14" ht="20" thickBot="1" x14ac:dyDescent="0.3">
      <c r="B15" s="758"/>
      <c r="D15" s="848" t="s">
        <v>880</v>
      </c>
      <c r="E15" s="878"/>
      <c r="F15" s="849"/>
      <c r="G15" s="61"/>
      <c r="H15" s="60"/>
      <c r="I15" s="331" t="s">
        <v>83</v>
      </c>
      <c r="J15" s="687" t="str">
        <f>'1. MADWEC Installation'!J15</f>
        <v>WHOI</v>
      </c>
      <c r="K15" s="687" t="str">
        <f>'1. MADWEC Installation'!K15</f>
        <v>WHOI</v>
      </c>
      <c r="L15" s="688" t="str">
        <f>'1. MADWEC Installation'!L15</f>
        <v>USFWS</v>
      </c>
      <c r="M15" s="900"/>
      <c r="N15" s="898"/>
    </row>
    <row r="16" spans="2:14" ht="15" customHeight="1" thickBot="1" x14ac:dyDescent="0.25">
      <c r="B16" s="758"/>
      <c r="D16" s="385" t="s">
        <v>39</v>
      </c>
      <c r="E16" s="386" t="s">
        <v>17</v>
      </c>
      <c r="F16" s="387" t="s">
        <v>40</v>
      </c>
      <c r="G16" s="59"/>
      <c r="H16" s="60"/>
    </row>
    <row r="17" spans="2:30" ht="19" x14ac:dyDescent="0.25">
      <c r="B17" s="758"/>
      <c r="D17" s="329" t="s">
        <v>13</v>
      </c>
      <c r="E17" s="626">
        <v>0.1</v>
      </c>
      <c r="F17" s="337" t="s">
        <v>84</v>
      </c>
      <c r="G17" s="61"/>
      <c r="H17" s="60"/>
      <c r="I17" s="848" t="s">
        <v>24</v>
      </c>
      <c r="J17" s="878"/>
      <c r="K17" s="849"/>
      <c r="L17" s="449"/>
    </row>
    <row r="18" spans="2:30" ht="15" customHeight="1" thickBot="1" x14ac:dyDescent="0.25">
      <c r="B18" s="758"/>
      <c r="D18" s="321" t="s">
        <v>169</v>
      </c>
      <c r="E18" s="628">
        <v>0.5</v>
      </c>
      <c r="F18" s="338" t="s">
        <v>76</v>
      </c>
      <c r="G18" s="59"/>
      <c r="H18" s="60"/>
      <c r="I18" s="347" t="s">
        <v>22</v>
      </c>
      <c r="J18" s="348" t="s">
        <v>23</v>
      </c>
      <c r="K18" s="349" t="s">
        <v>81</v>
      </c>
    </row>
    <row r="19" spans="2:30" x14ac:dyDescent="0.2">
      <c r="B19" s="758"/>
      <c r="D19" s="320" t="s">
        <v>170</v>
      </c>
      <c r="E19" s="612">
        <v>0.5</v>
      </c>
      <c r="F19" s="334" t="s">
        <v>76</v>
      </c>
      <c r="G19" s="61"/>
      <c r="H19" s="60"/>
      <c r="I19" s="329" t="s">
        <v>132</v>
      </c>
      <c r="J19" s="614">
        <v>1</v>
      </c>
      <c r="K19" s="557">
        <f>'1. MADWEC Installation'!F33</f>
        <v>45.32</v>
      </c>
    </row>
    <row r="20" spans="2:30" ht="15" customHeight="1" x14ac:dyDescent="0.2">
      <c r="B20" s="758"/>
      <c r="D20" s="321" t="s">
        <v>171</v>
      </c>
      <c r="E20" s="628">
        <v>2</v>
      </c>
      <c r="F20" s="338" t="s">
        <v>38</v>
      </c>
      <c r="I20" s="321" t="s">
        <v>133</v>
      </c>
      <c r="J20" s="612">
        <v>2</v>
      </c>
      <c r="K20" s="650">
        <f>'1. MADWEC Installation'!F34</f>
        <v>45.32</v>
      </c>
    </row>
    <row r="21" spans="2:30" ht="16" customHeight="1" x14ac:dyDescent="0.2">
      <c r="B21" s="758"/>
      <c r="D21" s="320" t="s">
        <v>97</v>
      </c>
      <c r="E21" s="628">
        <v>6</v>
      </c>
      <c r="F21" s="338" t="s">
        <v>76</v>
      </c>
      <c r="I21" s="320" t="s">
        <v>134</v>
      </c>
      <c r="J21" s="632">
        <v>1</v>
      </c>
      <c r="K21" s="650">
        <f>'1. MADWEC Installation'!F35</f>
        <v>40.950000000000003</v>
      </c>
      <c r="W21" s="4"/>
    </row>
    <row r="22" spans="2:30" ht="16" customHeight="1" x14ac:dyDescent="0.2">
      <c r="B22" s="758"/>
      <c r="D22" s="320" t="s">
        <v>98</v>
      </c>
      <c r="E22" s="628">
        <v>3</v>
      </c>
      <c r="F22" s="338" t="s">
        <v>76</v>
      </c>
      <c r="I22" s="321" t="s">
        <v>135</v>
      </c>
      <c r="J22" s="632">
        <v>1</v>
      </c>
      <c r="K22" s="650">
        <f>'1. MADWEC Installation'!F36</f>
        <v>40.950000000000003</v>
      </c>
      <c r="S22" s="4"/>
      <c r="T22" s="4"/>
      <c r="U22" s="4"/>
      <c r="AD22" s="4"/>
    </row>
    <row r="23" spans="2:30" ht="15" customHeight="1" x14ac:dyDescent="0.2">
      <c r="B23" s="758"/>
      <c r="D23" s="320" t="s">
        <v>96</v>
      </c>
      <c r="E23" s="628">
        <v>1</v>
      </c>
      <c r="F23" s="334" t="s">
        <v>76</v>
      </c>
      <c r="I23" s="321" t="s">
        <v>136</v>
      </c>
      <c r="J23" s="612">
        <v>1</v>
      </c>
      <c r="K23" s="650">
        <f>'1. MADWEC Installation'!F37</f>
        <v>46.22</v>
      </c>
    </row>
    <row r="24" spans="2:30" ht="15" customHeight="1" thickBot="1" x14ac:dyDescent="0.25">
      <c r="B24" s="758"/>
      <c r="D24" s="339" t="s">
        <v>121</v>
      </c>
      <c r="E24" s="629">
        <v>0</v>
      </c>
      <c r="F24" s="336" t="s">
        <v>76</v>
      </c>
      <c r="I24" s="321" t="s">
        <v>137</v>
      </c>
      <c r="J24" s="612">
        <v>2</v>
      </c>
      <c r="K24" s="650">
        <f>'1. MADWEC Installation'!F38</f>
        <v>46.22</v>
      </c>
    </row>
    <row r="25" spans="2:30" ht="15" customHeight="1" thickBot="1" x14ac:dyDescent="0.25">
      <c r="B25" s="758"/>
      <c r="I25" s="320" t="s">
        <v>138</v>
      </c>
      <c r="J25" s="632">
        <v>1</v>
      </c>
      <c r="K25" s="650">
        <f>'1. MADWEC Installation'!F39</f>
        <v>39.369999999999997</v>
      </c>
    </row>
    <row r="26" spans="2:30" ht="20" thickBot="1" x14ac:dyDescent="0.25">
      <c r="B26" s="758"/>
      <c r="D26" s="880" t="s">
        <v>117</v>
      </c>
      <c r="E26" s="881"/>
      <c r="F26" s="881"/>
      <c r="G26" s="882"/>
      <c r="I26" s="331" t="s">
        <v>139</v>
      </c>
      <c r="J26" s="634">
        <v>1</v>
      </c>
      <c r="K26" s="651">
        <f>'1. MADWEC Installation'!F40</f>
        <v>39.369999999999997</v>
      </c>
    </row>
    <row r="27" spans="2:30" ht="15" customHeight="1" thickBot="1" x14ac:dyDescent="0.25">
      <c r="B27" s="758"/>
      <c r="D27" s="299" t="s">
        <v>141</v>
      </c>
      <c r="E27" s="300" t="s">
        <v>142</v>
      </c>
      <c r="F27" s="974" t="s">
        <v>28</v>
      </c>
      <c r="G27" s="1010"/>
    </row>
    <row r="28" spans="2:30" ht="19" x14ac:dyDescent="0.2">
      <c r="B28" s="758"/>
      <c r="D28" s="332" t="s">
        <v>620</v>
      </c>
      <c r="E28" s="689">
        <f>'1. MADWEC Installation'!J19</f>
        <v>258</v>
      </c>
      <c r="F28" s="1113" t="s">
        <v>663</v>
      </c>
      <c r="G28" s="1114"/>
      <c r="I28" s="880" t="s">
        <v>678</v>
      </c>
      <c r="J28" s="881"/>
      <c r="K28" s="881"/>
      <c r="L28" s="882"/>
    </row>
    <row r="29" spans="2:30" ht="29" customHeight="1" thickBot="1" x14ac:dyDescent="0.25">
      <c r="B29" s="758"/>
      <c r="D29" s="330" t="s">
        <v>583</v>
      </c>
      <c r="E29" s="523">
        <f>'1. MADWEC Installation'!J20</f>
        <v>258</v>
      </c>
      <c r="F29" s="984" t="s">
        <v>664</v>
      </c>
      <c r="G29" s="985"/>
      <c r="I29" s="291" t="s">
        <v>531</v>
      </c>
      <c r="J29" s="292" t="s">
        <v>142</v>
      </c>
      <c r="K29" s="764" t="s">
        <v>28</v>
      </c>
      <c r="L29" s="879"/>
    </row>
    <row r="30" spans="2:30" ht="32" x14ac:dyDescent="0.2">
      <c r="B30" s="758"/>
      <c r="D30" s="333" t="s">
        <v>517</v>
      </c>
      <c r="E30" s="523">
        <f>'1. MADWEC Installation'!J21</f>
        <v>2267.25</v>
      </c>
      <c r="F30" s="1115"/>
      <c r="G30" s="1116"/>
      <c r="I30" s="329" t="s">
        <v>806</v>
      </c>
      <c r="J30" s="623">
        <v>6328</v>
      </c>
      <c r="K30" s="390" t="s">
        <v>665</v>
      </c>
      <c r="L30" s="1110" t="s">
        <v>803</v>
      </c>
    </row>
    <row r="31" spans="2:30" ht="32" x14ac:dyDescent="0.2">
      <c r="B31" s="758"/>
      <c r="D31" s="333" t="s">
        <v>518</v>
      </c>
      <c r="E31" s="523">
        <f>'1. MADWEC Installation'!J22</f>
        <v>1267.25</v>
      </c>
      <c r="F31" s="986"/>
      <c r="G31" s="987"/>
      <c r="I31" s="321" t="s">
        <v>807</v>
      </c>
      <c r="J31" s="624">
        <v>737</v>
      </c>
      <c r="K31" s="324" t="s">
        <v>667</v>
      </c>
      <c r="L31" s="1111"/>
      <c r="N31" s="224"/>
    </row>
    <row r="32" spans="2:30" ht="33" thickBot="1" x14ac:dyDescent="0.25">
      <c r="B32" s="758"/>
      <c r="D32" s="335" t="s">
        <v>519</v>
      </c>
      <c r="E32" s="524">
        <f>'1. MADWEC Installation'!J23</f>
        <v>1650</v>
      </c>
      <c r="F32" s="988"/>
      <c r="G32" s="989"/>
      <c r="I32" s="321" t="s">
        <v>808</v>
      </c>
      <c r="J32" s="624">
        <v>6226</v>
      </c>
      <c r="K32" s="324" t="s">
        <v>665</v>
      </c>
      <c r="L32" s="1111"/>
    </row>
    <row r="33" spans="2:29" ht="15" customHeight="1" x14ac:dyDescent="0.2">
      <c r="B33" s="758"/>
      <c r="I33" s="321" t="s">
        <v>809</v>
      </c>
      <c r="J33" s="624">
        <v>568</v>
      </c>
      <c r="K33" s="324" t="s">
        <v>667</v>
      </c>
      <c r="L33" s="1111"/>
    </row>
    <row r="34" spans="2:29" ht="15" customHeight="1" x14ac:dyDescent="0.2">
      <c r="B34" s="758"/>
      <c r="I34" s="330" t="s">
        <v>669</v>
      </c>
      <c r="J34" s="624">
        <v>6226</v>
      </c>
      <c r="K34" s="324" t="s">
        <v>665</v>
      </c>
      <c r="L34" s="1111"/>
    </row>
    <row r="35" spans="2:29" ht="15" customHeight="1" x14ac:dyDescent="0.2">
      <c r="B35" s="758"/>
      <c r="I35" s="330" t="s">
        <v>670</v>
      </c>
      <c r="J35" s="624">
        <v>568</v>
      </c>
      <c r="K35" s="324" t="s">
        <v>667</v>
      </c>
      <c r="L35" s="1111"/>
      <c r="U35" s="4"/>
      <c r="V35" s="4"/>
      <c r="W35" s="4"/>
    </row>
    <row r="36" spans="2:29" ht="16" x14ac:dyDescent="0.2">
      <c r="B36" s="758"/>
      <c r="F36" s="80"/>
      <c r="I36" s="330" t="s">
        <v>671</v>
      </c>
      <c r="J36" s="624">
        <v>707.02</v>
      </c>
      <c r="K36" s="324" t="s">
        <v>665</v>
      </c>
      <c r="L36" s="1111"/>
      <c r="U36" s="4"/>
      <c r="V36" s="4"/>
      <c r="W36" s="4"/>
    </row>
    <row r="37" spans="2:29" ht="17" thickBot="1" x14ac:dyDescent="0.25">
      <c r="B37" s="759"/>
      <c r="F37" s="80"/>
      <c r="I37" s="331" t="s">
        <v>672</v>
      </c>
      <c r="J37" s="625">
        <v>17</v>
      </c>
      <c r="K37" s="391" t="s">
        <v>667</v>
      </c>
      <c r="L37" s="1112"/>
      <c r="U37" s="4"/>
      <c r="V37" s="4"/>
      <c r="W37" s="4"/>
    </row>
    <row r="38" spans="2:29" ht="18" customHeight="1" x14ac:dyDescent="0.2">
      <c r="B38" s="12"/>
      <c r="F38" s="80"/>
      <c r="U38" s="4"/>
      <c r="V38" s="4"/>
      <c r="W38" s="4"/>
    </row>
    <row r="39" spans="2:29" ht="18" customHeight="1" x14ac:dyDescent="0.2">
      <c r="B39" s="12"/>
      <c r="F39" s="80"/>
      <c r="U39" s="4"/>
      <c r="V39" s="4"/>
      <c r="W39" s="4"/>
    </row>
    <row r="40" spans="2:29" ht="15" customHeight="1" thickBot="1" x14ac:dyDescent="0.25">
      <c r="B40" s="14"/>
      <c r="T40" s="4"/>
      <c r="U40" s="4"/>
      <c r="V40" s="4"/>
      <c r="W40" s="4"/>
      <c r="X40" s="4"/>
    </row>
    <row r="41" spans="2:29" ht="20" customHeight="1" thickBot="1" x14ac:dyDescent="0.3">
      <c r="B41" s="757" t="s">
        <v>51</v>
      </c>
      <c r="D41" s="863" t="s">
        <v>47</v>
      </c>
      <c r="E41" s="864"/>
      <c r="F41" s="864"/>
      <c r="G41" s="864"/>
      <c r="H41" s="864"/>
      <c r="I41" s="864"/>
      <c r="J41" s="864"/>
      <c r="K41" s="865"/>
      <c r="M41" s="866" t="s">
        <v>65</v>
      </c>
      <c r="N41" s="867"/>
      <c r="O41" s="867"/>
      <c r="P41" s="867"/>
      <c r="Q41" s="867"/>
      <c r="R41" s="867"/>
      <c r="S41" s="867"/>
      <c r="T41" s="868"/>
      <c r="U41" s="4"/>
      <c r="V41" s="863" t="s">
        <v>52</v>
      </c>
      <c r="W41" s="864"/>
      <c r="X41" s="864"/>
      <c r="Y41" s="864"/>
      <c r="Z41" s="864"/>
      <c r="AA41" s="864"/>
      <c r="AB41" s="864"/>
      <c r="AC41" s="865"/>
    </row>
    <row r="42" spans="2:29" ht="15" customHeight="1" x14ac:dyDescent="0.2">
      <c r="B42" s="758"/>
      <c r="D42" s="857" t="s">
        <v>172</v>
      </c>
      <c r="E42" s="24" t="s">
        <v>4</v>
      </c>
      <c r="F42" s="25" t="s">
        <v>35</v>
      </c>
      <c r="G42" s="26" t="s">
        <v>5</v>
      </c>
      <c r="H42" s="25" t="s">
        <v>77</v>
      </c>
      <c r="I42" s="26" t="s">
        <v>31</v>
      </c>
      <c r="J42" s="26" t="s">
        <v>29</v>
      </c>
      <c r="K42" s="34" t="s">
        <v>32</v>
      </c>
      <c r="M42" s="869" t="s">
        <v>172</v>
      </c>
      <c r="N42" s="78" t="s">
        <v>4</v>
      </c>
      <c r="O42" s="72" t="s">
        <v>35</v>
      </c>
      <c r="P42" s="75" t="s">
        <v>5</v>
      </c>
      <c r="Q42" s="72" t="s">
        <v>77</v>
      </c>
      <c r="R42" s="75" t="s">
        <v>31</v>
      </c>
      <c r="S42" s="75" t="s">
        <v>29</v>
      </c>
      <c r="T42" s="76" t="s">
        <v>32</v>
      </c>
      <c r="U42" s="4"/>
      <c r="V42" s="857" t="s">
        <v>172</v>
      </c>
      <c r="W42" s="24" t="s">
        <v>4</v>
      </c>
      <c r="X42" s="25" t="s">
        <v>35</v>
      </c>
      <c r="Y42" s="26" t="s">
        <v>5</v>
      </c>
      <c r="Z42" s="25" t="s">
        <v>77</v>
      </c>
      <c r="AA42" s="26" t="s">
        <v>31</v>
      </c>
      <c r="AB42" s="26" t="s">
        <v>29</v>
      </c>
      <c r="AC42" s="34" t="s">
        <v>32</v>
      </c>
    </row>
    <row r="43" spans="2:29" ht="16" x14ac:dyDescent="0.2">
      <c r="B43" s="758"/>
      <c r="D43" s="858"/>
      <c r="E43" s="39" t="s">
        <v>43</v>
      </c>
      <c r="F43" s="9" t="s">
        <v>75</v>
      </c>
      <c r="G43" s="9" t="s">
        <v>7</v>
      </c>
      <c r="H43" s="46">
        <f>(E9/$J$5)</f>
        <v>0.77777777777777779</v>
      </c>
      <c r="I43" s="54">
        <f t="shared" ref="I43:I49" si="0">($J$8+$J$6)*H43</f>
        <v>1283.3333333333333</v>
      </c>
      <c r="J43" s="16">
        <f>((K21*J21)+(K22*J22))*H43</f>
        <v>63.7</v>
      </c>
      <c r="K43" s="7">
        <f>I43+J43</f>
        <v>1347.0333333333333</v>
      </c>
      <c r="M43" s="858"/>
      <c r="N43" s="39" t="s">
        <v>54</v>
      </c>
      <c r="O43" s="9" t="s">
        <v>115</v>
      </c>
      <c r="P43" s="9" t="s">
        <v>7</v>
      </c>
      <c r="Q43" s="46">
        <f>F9/K5</f>
        <v>0.77777777777777779</v>
      </c>
      <c r="R43" s="54">
        <f t="shared" ref="R43:R49" si="1">($K$6+$K$8)*Q43</f>
        <v>1283.3333333333333</v>
      </c>
      <c r="S43" s="16">
        <f>(($K$21*$J$21)+($K$22*$J$22))*Q43</f>
        <v>63.7</v>
      </c>
      <c r="T43" s="7">
        <f>R43+S43</f>
        <v>1347.0333333333333</v>
      </c>
      <c r="U43" s="4"/>
      <c r="V43" s="858"/>
      <c r="W43" s="39" t="s">
        <v>60</v>
      </c>
      <c r="X43" s="9" t="s">
        <v>116</v>
      </c>
      <c r="Y43" s="27" t="s">
        <v>7</v>
      </c>
      <c r="Z43" s="46">
        <f>G9/L5</f>
        <v>0</v>
      </c>
      <c r="AA43" s="31">
        <f t="shared" ref="AA43:AA48" si="2">($L$6+$L$8)*Z43</f>
        <v>0</v>
      </c>
      <c r="AB43" s="79">
        <f>($K$25+$K$26)*Z43</f>
        <v>0</v>
      </c>
      <c r="AC43" s="7">
        <f>AA43+AB43</f>
        <v>0</v>
      </c>
    </row>
    <row r="44" spans="2:29" ht="16" x14ac:dyDescent="0.2">
      <c r="B44" s="758"/>
      <c r="D44" s="858"/>
      <c r="E44" s="39" t="s">
        <v>173</v>
      </c>
      <c r="F44" s="9" t="s">
        <v>75</v>
      </c>
      <c r="G44" s="9" t="s">
        <v>12</v>
      </c>
      <c r="H44" s="3">
        <f>E18</f>
        <v>0.5</v>
      </c>
      <c r="I44" s="54">
        <f t="shared" si="0"/>
        <v>825</v>
      </c>
      <c r="J44" s="16">
        <f>(($K$19*$J$19)+($K$20*$J$20)+($K$21*$J$21)+($K$22*$J$22))*H44</f>
        <v>108.93</v>
      </c>
      <c r="K44" s="7">
        <f t="shared" ref="K44:K49" si="3">I44+J44</f>
        <v>933.93000000000006</v>
      </c>
      <c r="M44" s="858"/>
      <c r="N44" s="39" t="s">
        <v>173</v>
      </c>
      <c r="O44" s="9" t="s">
        <v>115</v>
      </c>
      <c r="P44" s="9" t="s">
        <v>12</v>
      </c>
      <c r="Q44" s="3">
        <f>E18</f>
        <v>0.5</v>
      </c>
      <c r="R44" s="54">
        <f t="shared" si="1"/>
        <v>825</v>
      </c>
      <c r="S44" s="16">
        <f>(($K$19*$J$19)+($K$20*$J$20)+($K$21*$J$21)+($K$22*$J$22))*Q44</f>
        <v>108.93</v>
      </c>
      <c r="T44" s="7">
        <f t="shared" ref="T44:T49" si="4">R44+S44</f>
        <v>933.93000000000006</v>
      </c>
      <c r="U44" s="4"/>
      <c r="V44" s="858"/>
      <c r="W44" s="39" t="s">
        <v>173</v>
      </c>
      <c r="X44" s="9" t="s">
        <v>116</v>
      </c>
      <c r="Y44" s="27" t="s">
        <v>12</v>
      </c>
      <c r="Z44" s="3">
        <f>E18</f>
        <v>0.5</v>
      </c>
      <c r="AA44" s="31">
        <f t="shared" si="2"/>
        <v>673.95833333333326</v>
      </c>
      <c r="AB44" s="16">
        <f>(($K$23*$J$23)+($K$24*$J$24)+($K$25*$J$25)+($K$26*$J$26))*Z44</f>
        <v>108.7</v>
      </c>
      <c r="AC44" s="7">
        <f t="shared" ref="AC44:AC49" si="5">AA44+AB44</f>
        <v>782.6583333333333</v>
      </c>
    </row>
    <row r="45" spans="2:29" ht="16" customHeight="1" x14ac:dyDescent="0.2">
      <c r="B45" s="758"/>
      <c r="D45" s="858"/>
      <c r="E45" s="39" t="s">
        <v>42</v>
      </c>
      <c r="F45" s="9" t="s">
        <v>75</v>
      </c>
      <c r="G45" s="11" t="s">
        <v>8</v>
      </c>
      <c r="H45" s="45">
        <f>(E13/J5)</f>
        <v>0.94444444444444442</v>
      </c>
      <c r="I45" s="54">
        <f t="shared" si="0"/>
        <v>1558.3333333333333</v>
      </c>
      <c r="J45" s="16">
        <f>(($K$19*$J$19)+($K$20*$J$20)+($K$21*$J$21)+($K$22*$J$22))*H45</f>
        <v>205.75666666666666</v>
      </c>
      <c r="K45" s="7">
        <f t="shared" si="3"/>
        <v>1764.09</v>
      </c>
      <c r="L45" s="4"/>
      <c r="M45" s="858"/>
      <c r="N45" s="39" t="s">
        <v>55</v>
      </c>
      <c r="O45" s="9" t="s">
        <v>115</v>
      </c>
      <c r="P45" s="11" t="s">
        <v>8</v>
      </c>
      <c r="Q45" s="45">
        <f>F13/K5</f>
        <v>2.6666666666666665</v>
      </c>
      <c r="R45" s="54">
        <f t="shared" si="1"/>
        <v>4400</v>
      </c>
      <c r="S45" s="16">
        <f>(($K$19*$J$19)+($K$20*$J$20)+($K$21*$J$21)+($K$22*$J$22))*Q45</f>
        <v>580.96</v>
      </c>
      <c r="T45" s="7">
        <f t="shared" si="4"/>
        <v>4980.96</v>
      </c>
      <c r="U45" s="4"/>
      <c r="V45" s="858"/>
      <c r="W45" s="39" t="s">
        <v>58</v>
      </c>
      <c r="X45" s="9" t="s">
        <v>116</v>
      </c>
      <c r="Y45" s="28" t="s">
        <v>8</v>
      </c>
      <c r="Z45" s="45">
        <f>G13/L5</f>
        <v>4.5999999999999996</v>
      </c>
      <c r="AA45" s="31">
        <f t="shared" si="2"/>
        <v>6200.4166666666652</v>
      </c>
      <c r="AB45" s="16">
        <f>(($K$23*$J$23)+($K$24*$J$24)+($K$25*$J$25)+($K$26*$J$26))*Z45</f>
        <v>1000.04</v>
      </c>
      <c r="AC45" s="7">
        <f t="shared" si="5"/>
        <v>7200.4566666666651</v>
      </c>
    </row>
    <row r="46" spans="2:29" ht="16" customHeight="1" x14ac:dyDescent="0.2">
      <c r="B46" s="758"/>
      <c r="D46" s="858"/>
      <c r="E46" s="39" t="s">
        <v>108</v>
      </c>
      <c r="F46" s="9" t="s">
        <v>75</v>
      </c>
      <c r="G46" s="11" t="s">
        <v>12</v>
      </c>
      <c r="H46" s="45">
        <f>E19</f>
        <v>0.5</v>
      </c>
      <c r="I46" s="54">
        <f t="shared" si="0"/>
        <v>825</v>
      </c>
      <c r="J46" s="16">
        <f>(($K$19*$J$19)+($K$20*$J$20)+($K$21*$J$21)+($K$22*$J$22))*H46</f>
        <v>108.93</v>
      </c>
      <c r="K46" s="7">
        <f t="shared" si="3"/>
        <v>933.93000000000006</v>
      </c>
      <c r="L46" s="4"/>
      <c r="M46" s="858"/>
      <c r="N46" s="39" t="s">
        <v>108</v>
      </c>
      <c r="O46" s="9" t="s">
        <v>115</v>
      </c>
      <c r="P46" s="11" t="s">
        <v>12</v>
      </c>
      <c r="Q46" s="45">
        <f>E19</f>
        <v>0.5</v>
      </c>
      <c r="R46" s="54">
        <f t="shared" si="1"/>
        <v>825</v>
      </c>
      <c r="S46" s="16">
        <f>(($K$19*$J$19)+($K$20*$J$20)+($K$21*$J$21)+($K$22*$J$22))*Q46</f>
        <v>108.93</v>
      </c>
      <c r="T46" s="7">
        <f t="shared" si="4"/>
        <v>933.93000000000006</v>
      </c>
      <c r="U46" s="4"/>
      <c r="V46" s="858"/>
      <c r="W46" s="39" t="s">
        <v>108</v>
      </c>
      <c r="X46" s="9" t="s">
        <v>116</v>
      </c>
      <c r="Y46" s="28" t="s">
        <v>12</v>
      </c>
      <c r="Z46" s="45">
        <f>E19</f>
        <v>0.5</v>
      </c>
      <c r="AA46" s="31">
        <f t="shared" si="2"/>
        <v>673.95833333333326</v>
      </c>
      <c r="AB46" s="16">
        <f>(($K$23*$J$23)+($K$24*$J$24)+($K$25*$J$25)+($K$26*$J$26))*Z46</f>
        <v>108.7</v>
      </c>
      <c r="AC46" s="7">
        <f t="shared" si="5"/>
        <v>782.6583333333333</v>
      </c>
    </row>
    <row r="47" spans="2:29" x14ac:dyDescent="0.2">
      <c r="B47" s="758"/>
      <c r="D47" s="858"/>
      <c r="E47" s="39" t="s">
        <v>11</v>
      </c>
      <c r="F47" s="9" t="s">
        <v>75</v>
      </c>
      <c r="G47" s="11" t="s">
        <v>12</v>
      </c>
      <c r="H47" s="45">
        <f>E23</f>
        <v>1</v>
      </c>
      <c r="I47" s="54">
        <f t="shared" si="0"/>
        <v>1650</v>
      </c>
      <c r="J47" s="16">
        <f>(($K$19*$J$19)+($K$20*$J$20)+($K$21*$J$21)+($K$22*$J$22))*H47</f>
        <v>217.86</v>
      </c>
      <c r="K47" s="7">
        <f t="shared" si="3"/>
        <v>1867.8600000000001</v>
      </c>
      <c r="L47" s="18"/>
      <c r="M47" s="858"/>
      <c r="N47" s="39" t="s">
        <v>11</v>
      </c>
      <c r="O47" s="9" t="s">
        <v>115</v>
      </c>
      <c r="P47" s="11" t="s">
        <v>12</v>
      </c>
      <c r="Q47" s="45">
        <f>E23</f>
        <v>1</v>
      </c>
      <c r="R47" s="54">
        <f t="shared" si="1"/>
        <v>1650</v>
      </c>
      <c r="S47" s="16">
        <f>(($K$19*$J$19)+($K$20*$J$20)+($K$21*$J$21)+($K$22*$J$22))*Q47</f>
        <v>217.86</v>
      </c>
      <c r="T47" s="7">
        <f t="shared" si="4"/>
        <v>1867.8600000000001</v>
      </c>
      <c r="U47" s="787"/>
      <c r="V47" s="858"/>
      <c r="W47" s="39" t="s">
        <v>11</v>
      </c>
      <c r="X47" s="9" t="s">
        <v>116</v>
      </c>
      <c r="Y47" s="28" t="s">
        <v>12</v>
      </c>
      <c r="Z47" s="45">
        <f>E23</f>
        <v>1</v>
      </c>
      <c r="AA47" s="31">
        <f t="shared" si="2"/>
        <v>1347.9166666666665</v>
      </c>
      <c r="AB47" s="16">
        <f>(($K$23*$J$23)+($K$24*$J$24)+($K$25*$J$25)+($K$26*$J$26))*Z47</f>
        <v>217.4</v>
      </c>
      <c r="AC47" s="7">
        <f t="shared" si="5"/>
        <v>1565.3166666666666</v>
      </c>
    </row>
    <row r="48" spans="2:29" x14ac:dyDescent="0.2">
      <c r="B48" s="758"/>
      <c r="D48" s="858"/>
      <c r="E48" s="39" t="s">
        <v>45</v>
      </c>
      <c r="F48" s="9" t="s">
        <v>75</v>
      </c>
      <c r="G48" s="11" t="s">
        <v>8</v>
      </c>
      <c r="H48" s="45">
        <f>H45</f>
        <v>0.94444444444444442</v>
      </c>
      <c r="I48" s="54">
        <f t="shared" si="0"/>
        <v>1558.3333333333333</v>
      </c>
      <c r="J48" s="16">
        <f>(($K$19*$J$19)+($K$20*$J$20)+($K$21*$J$21)+($K$22*$J$22))*H48</f>
        <v>205.75666666666666</v>
      </c>
      <c r="K48" s="7">
        <f t="shared" si="3"/>
        <v>1764.09</v>
      </c>
      <c r="L48" s="18"/>
      <c r="M48" s="858"/>
      <c r="N48" s="39" t="s">
        <v>56</v>
      </c>
      <c r="O48" s="9" t="s">
        <v>115</v>
      </c>
      <c r="P48" s="11" t="s">
        <v>8</v>
      </c>
      <c r="Q48" s="45">
        <f>Q45</f>
        <v>2.6666666666666665</v>
      </c>
      <c r="R48" s="54">
        <f t="shared" si="1"/>
        <v>4400</v>
      </c>
      <c r="S48" s="16">
        <f>(($K$19*$J$19)+($K$20*$J$20)+($K$21*$J$21)+($K$22*$J$22))*Q48</f>
        <v>580.96</v>
      </c>
      <c r="T48" s="7">
        <f t="shared" si="4"/>
        <v>4980.96</v>
      </c>
      <c r="U48" s="787"/>
      <c r="V48" s="858"/>
      <c r="W48" s="39" t="s">
        <v>59</v>
      </c>
      <c r="X48" s="9" t="s">
        <v>116</v>
      </c>
      <c r="Y48" s="28" t="s">
        <v>8</v>
      </c>
      <c r="Z48" s="45">
        <f>Z45</f>
        <v>4.5999999999999996</v>
      </c>
      <c r="AA48" s="31">
        <f t="shared" si="2"/>
        <v>6200.4166666666652</v>
      </c>
      <c r="AB48" s="16">
        <f>(($K$23*$J$23)+($K$24*$J$24)+($K$25*$J$25)+($K$26*$J$26))*Z48</f>
        <v>1000.04</v>
      </c>
      <c r="AC48" s="7">
        <f t="shared" si="5"/>
        <v>7200.4566666666651</v>
      </c>
    </row>
    <row r="49" spans="2:29" x14ac:dyDescent="0.2">
      <c r="B49" s="758"/>
      <c r="D49" s="858"/>
      <c r="E49" s="39" t="s">
        <v>44</v>
      </c>
      <c r="F49" s="9" t="s">
        <v>75</v>
      </c>
      <c r="G49" s="11" t="s">
        <v>7</v>
      </c>
      <c r="H49" s="45">
        <f>H43</f>
        <v>0.77777777777777779</v>
      </c>
      <c r="I49" s="54">
        <f t="shared" si="0"/>
        <v>1283.3333333333333</v>
      </c>
      <c r="J49" s="16">
        <f>((K21*J21)+(K22*J22))*H49</f>
        <v>63.7</v>
      </c>
      <c r="K49" s="7">
        <f t="shared" si="3"/>
        <v>1347.0333333333333</v>
      </c>
      <c r="L49" s="18"/>
      <c r="M49" s="858"/>
      <c r="N49" s="39" t="s">
        <v>57</v>
      </c>
      <c r="O49" s="9" t="s">
        <v>115</v>
      </c>
      <c r="P49" s="11" t="s">
        <v>7</v>
      </c>
      <c r="Q49" s="45">
        <f>Q43</f>
        <v>0.77777777777777779</v>
      </c>
      <c r="R49" s="54">
        <f t="shared" si="1"/>
        <v>1283.3333333333333</v>
      </c>
      <c r="S49" s="16">
        <f>(($K$21*$J$21)+($K$22*$J$22))*Q49</f>
        <v>63.7</v>
      </c>
      <c r="T49" s="7">
        <f t="shared" si="4"/>
        <v>1347.0333333333333</v>
      </c>
      <c r="U49" s="787"/>
      <c r="V49" s="858"/>
      <c r="W49" s="39" t="s">
        <v>61</v>
      </c>
      <c r="X49" s="9" t="s">
        <v>116</v>
      </c>
      <c r="Y49" s="28" t="s">
        <v>7</v>
      </c>
      <c r="Z49" s="45">
        <f>Z43</f>
        <v>0</v>
      </c>
      <c r="AA49" s="31">
        <f>AA43</f>
        <v>0</v>
      </c>
      <c r="AB49" s="16">
        <f>AB43</f>
        <v>0</v>
      </c>
      <c r="AC49" s="7">
        <f t="shared" si="5"/>
        <v>0</v>
      </c>
    </row>
    <row r="50" spans="2:29" ht="15" customHeight="1" x14ac:dyDescent="0.2">
      <c r="B50" s="758"/>
      <c r="D50" s="858"/>
      <c r="E50" s="39" t="s">
        <v>13</v>
      </c>
      <c r="F50" s="9" t="s">
        <v>75</v>
      </c>
      <c r="G50" s="11" t="s">
        <v>12</v>
      </c>
      <c r="H50" s="6" t="s">
        <v>9</v>
      </c>
      <c r="I50" s="9" t="s">
        <v>9</v>
      </c>
      <c r="J50" s="11" t="s">
        <v>9</v>
      </c>
      <c r="K50" s="7">
        <f>SUM(K43:K49)*$E$17</f>
        <v>995.79666666666674</v>
      </c>
      <c r="L50" s="18"/>
      <c r="M50" s="858"/>
      <c r="N50" s="39" t="s">
        <v>13</v>
      </c>
      <c r="O50" s="9" t="s">
        <v>115</v>
      </c>
      <c r="P50" s="11" t="s">
        <v>12</v>
      </c>
      <c r="Q50" s="6" t="s">
        <v>9</v>
      </c>
      <c r="R50" s="9" t="s">
        <v>9</v>
      </c>
      <c r="S50" s="11" t="s">
        <v>9</v>
      </c>
      <c r="T50" s="7">
        <f>SUM(T43:T49)*$E$17</f>
        <v>1639.1706666666666</v>
      </c>
      <c r="U50" s="787"/>
      <c r="V50" s="858"/>
      <c r="W50" s="39" t="s">
        <v>13</v>
      </c>
      <c r="X50" s="9" t="s">
        <v>116</v>
      </c>
      <c r="Y50" s="28" t="s">
        <v>12</v>
      </c>
      <c r="Z50" s="6" t="s">
        <v>9</v>
      </c>
      <c r="AA50" s="9" t="s">
        <v>9</v>
      </c>
      <c r="AB50" s="11" t="s">
        <v>9</v>
      </c>
      <c r="AC50" s="7">
        <f>SUM(AC43:AC49)*$E$17</f>
        <v>1753.1546666666663</v>
      </c>
    </row>
    <row r="51" spans="2:29" ht="15" customHeight="1" thickBot="1" x14ac:dyDescent="0.25">
      <c r="B51" s="758"/>
      <c r="D51" s="859"/>
      <c r="E51" s="71"/>
      <c r="F51" s="71"/>
      <c r="G51" s="29"/>
      <c r="H51" s="29"/>
      <c r="I51" s="29"/>
      <c r="J51" s="43" t="s">
        <v>174</v>
      </c>
      <c r="K51" s="37">
        <f>SUM(K43:K50)</f>
        <v>10953.763333333334</v>
      </c>
      <c r="L51" s="18"/>
      <c r="M51" s="859"/>
      <c r="N51" s="71"/>
      <c r="O51" s="71"/>
      <c r="P51" s="29"/>
      <c r="Q51" s="29"/>
      <c r="R51" s="29"/>
      <c r="S51" s="43" t="s">
        <v>174</v>
      </c>
      <c r="T51" s="37">
        <f>SUM(T43:T50)</f>
        <v>18030.87733333333</v>
      </c>
      <c r="U51" s="787"/>
      <c r="V51" s="859"/>
      <c r="W51" s="71"/>
      <c r="X51" s="71"/>
      <c r="Y51" s="29"/>
      <c r="Z51" s="29"/>
      <c r="AA51" s="29"/>
      <c r="AB51" s="43" t="s">
        <v>174</v>
      </c>
      <c r="AC51" s="37">
        <f>SUM(AC43:AC50)</f>
        <v>19284.701333333327</v>
      </c>
    </row>
    <row r="52" spans="2:29" ht="15" customHeight="1" thickBot="1" x14ac:dyDescent="0.25">
      <c r="B52" s="758"/>
      <c r="U52" s="787"/>
    </row>
    <row r="53" spans="2:29" ht="15" customHeight="1" x14ac:dyDescent="0.2">
      <c r="B53" s="758"/>
      <c r="D53" s="770" t="s">
        <v>36</v>
      </c>
      <c r="E53" s="72" t="s">
        <v>4</v>
      </c>
      <c r="F53" s="72" t="s">
        <v>35</v>
      </c>
      <c r="G53" s="72" t="s">
        <v>5</v>
      </c>
      <c r="H53" s="72" t="s">
        <v>77</v>
      </c>
      <c r="I53" s="72" t="s">
        <v>31</v>
      </c>
      <c r="J53" s="72" t="s">
        <v>29</v>
      </c>
      <c r="K53" s="73" t="s">
        <v>32</v>
      </c>
      <c r="L53" s="13"/>
      <c r="M53" s="869" t="s">
        <v>36</v>
      </c>
      <c r="N53" s="72" t="s">
        <v>4</v>
      </c>
      <c r="O53" s="72" t="s">
        <v>35</v>
      </c>
      <c r="P53" s="72" t="s">
        <v>5</v>
      </c>
      <c r="Q53" s="72" t="s">
        <v>77</v>
      </c>
      <c r="R53" s="72" t="s">
        <v>31</v>
      </c>
      <c r="S53" s="72" t="s">
        <v>29</v>
      </c>
      <c r="T53" s="73" t="s">
        <v>32</v>
      </c>
      <c r="U53" s="38"/>
      <c r="V53" s="869" t="s">
        <v>36</v>
      </c>
      <c r="W53" s="72" t="s">
        <v>4</v>
      </c>
      <c r="X53" s="72" t="s">
        <v>35</v>
      </c>
      <c r="Y53" s="72" t="s">
        <v>5</v>
      </c>
      <c r="Z53" s="72" t="s">
        <v>77</v>
      </c>
      <c r="AA53" s="72" t="s">
        <v>31</v>
      </c>
      <c r="AB53" s="72" t="s">
        <v>29</v>
      </c>
      <c r="AC53" s="73" t="s">
        <v>32</v>
      </c>
    </row>
    <row r="54" spans="2:29" x14ac:dyDescent="0.2">
      <c r="B54" s="758"/>
      <c r="D54" s="773"/>
      <c r="E54" s="27" t="s">
        <v>43</v>
      </c>
      <c r="F54" s="9" t="s">
        <v>75</v>
      </c>
      <c r="G54" s="9" t="s">
        <v>7</v>
      </c>
      <c r="H54" s="45">
        <f>(E9/J5)</f>
        <v>0.77777777777777779</v>
      </c>
      <c r="I54" s="31">
        <f t="shared" ref="I54:I60" si="6">($J$6+$J$8)*H54</f>
        <v>1283.3333333333333</v>
      </c>
      <c r="J54" s="31">
        <f>($K$21+$K$22)*H54</f>
        <v>63.7</v>
      </c>
      <c r="K54" s="36">
        <f>I54+J54</f>
        <v>1347.0333333333333</v>
      </c>
      <c r="L54" s="19"/>
      <c r="M54" s="858"/>
      <c r="N54" s="27" t="s">
        <v>54</v>
      </c>
      <c r="O54" s="9" t="s">
        <v>115</v>
      </c>
      <c r="P54" s="9" t="s">
        <v>7</v>
      </c>
      <c r="Q54" s="45">
        <f>F9/K5</f>
        <v>0.77777777777777779</v>
      </c>
      <c r="R54" s="31">
        <f t="shared" ref="R54:R60" si="7">($K$6+$K$8)*Q54</f>
        <v>1283.3333333333333</v>
      </c>
      <c r="S54" s="31">
        <f>(($K$21*$J$21)+($K$22*$J$22))*Q54</f>
        <v>63.7</v>
      </c>
      <c r="T54" s="36">
        <f>R54+S54</f>
        <v>1347.0333333333333</v>
      </c>
      <c r="U54" s="38"/>
      <c r="V54" s="858"/>
      <c r="W54" s="27" t="s">
        <v>60</v>
      </c>
      <c r="X54" s="9" t="s">
        <v>116</v>
      </c>
      <c r="Y54" s="9" t="s">
        <v>7</v>
      </c>
      <c r="Z54" s="45">
        <f>G9/L5</f>
        <v>0</v>
      </c>
      <c r="AA54" s="9">
        <f t="shared" ref="AA54:AA59" si="8">($L$6+$L$8)*Z54</f>
        <v>0</v>
      </c>
      <c r="AB54" s="64">
        <f>($K$25+$K$26)*Z54</f>
        <v>0</v>
      </c>
      <c r="AC54" s="36">
        <f>AA54+AB54</f>
        <v>0</v>
      </c>
    </row>
    <row r="55" spans="2:29" ht="15" customHeight="1" x14ac:dyDescent="0.2">
      <c r="B55" s="758"/>
      <c r="D55" s="773"/>
      <c r="E55" s="56" t="s">
        <v>106</v>
      </c>
      <c r="F55" s="9" t="s">
        <v>75</v>
      </c>
      <c r="G55" s="9" t="s">
        <v>12</v>
      </c>
      <c r="H55" s="47">
        <f>E18</f>
        <v>0.5</v>
      </c>
      <c r="I55" s="31">
        <f t="shared" si="6"/>
        <v>825</v>
      </c>
      <c r="J55" s="31">
        <f>(($K$19*$J$19)+($K$20*$J$20)+($K$21*$J$21)+($K$22*$J$22))*H55</f>
        <v>108.93</v>
      </c>
      <c r="K55" s="36">
        <f t="shared" ref="K55:K60" si="9">I55+J55</f>
        <v>933.93000000000006</v>
      </c>
      <c r="L55" s="19"/>
      <c r="M55" s="858"/>
      <c r="N55" s="56" t="s">
        <v>106</v>
      </c>
      <c r="O55" s="9" t="s">
        <v>115</v>
      </c>
      <c r="P55" s="9" t="s">
        <v>12</v>
      </c>
      <c r="Q55" s="47">
        <f>E18</f>
        <v>0.5</v>
      </c>
      <c r="R55" s="31">
        <f t="shared" si="7"/>
        <v>825</v>
      </c>
      <c r="S55" s="31">
        <f>(($K$19*$J$19)+($K$20*$J$20)+($K$21*$J$21)+($K$22*$J$22))*Q55</f>
        <v>108.93</v>
      </c>
      <c r="T55" s="36">
        <f t="shared" ref="T55:T60" si="10">R55+S55</f>
        <v>933.93000000000006</v>
      </c>
      <c r="U55" s="38"/>
      <c r="V55" s="858"/>
      <c r="W55" s="56" t="s">
        <v>106</v>
      </c>
      <c r="X55" s="9" t="s">
        <v>116</v>
      </c>
      <c r="Y55" s="9" t="s">
        <v>12</v>
      </c>
      <c r="Z55" s="47">
        <f>E18</f>
        <v>0.5</v>
      </c>
      <c r="AA55" s="9">
        <f t="shared" si="8"/>
        <v>673.95833333333326</v>
      </c>
      <c r="AB55" s="31">
        <f>(($K$23*$J$23)+($K$24*$J$24)+($K$25*$J$25)+($K$26*$J$26))*Z55</f>
        <v>108.7</v>
      </c>
      <c r="AC55" s="36">
        <f t="shared" ref="AC55:AC60" si="11">AA55+AB55</f>
        <v>782.6583333333333</v>
      </c>
    </row>
    <row r="56" spans="2:29" x14ac:dyDescent="0.2">
      <c r="B56" s="758"/>
      <c r="D56" s="773"/>
      <c r="E56" s="27" t="s">
        <v>42</v>
      </c>
      <c r="F56" s="9" t="s">
        <v>75</v>
      </c>
      <c r="G56" s="9" t="s">
        <v>8</v>
      </c>
      <c r="H56" s="45">
        <f>(E13/J5)</f>
        <v>0.94444444444444442</v>
      </c>
      <c r="I56" s="31">
        <f t="shared" si="6"/>
        <v>1558.3333333333333</v>
      </c>
      <c r="J56" s="31">
        <f>(($K$19*$J$19)+($K$20*$J$20)+($K$21*$J$21)+($K$22*$J$22))*H56</f>
        <v>205.75666666666666</v>
      </c>
      <c r="K56" s="36">
        <f t="shared" si="9"/>
        <v>1764.09</v>
      </c>
      <c r="L56" s="19"/>
      <c r="M56" s="858"/>
      <c r="N56" s="27" t="s">
        <v>55</v>
      </c>
      <c r="O56" s="9" t="s">
        <v>115</v>
      </c>
      <c r="P56" s="9" t="s">
        <v>8</v>
      </c>
      <c r="Q56" s="45">
        <f>F13/K5</f>
        <v>2.6666666666666665</v>
      </c>
      <c r="R56" s="31">
        <f t="shared" si="7"/>
        <v>4400</v>
      </c>
      <c r="S56" s="31">
        <f>(($K$19*$J$19)+($K$20*$J$20)+($K$21*$J$21)+($K$22*$J$22))*Q56</f>
        <v>580.96</v>
      </c>
      <c r="T56" s="36">
        <f t="shared" si="10"/>
        <v>4980.96</v>
      </c>
      <c r="U56" s="38"/>
      <c r="V56" s="858"/>
      <c r="W56" s="27" t="s">
        <v>58</v>
      </c>
      <c r="X56" s="9" t="s">
        <v>116</v>
      </c>
      <c r="Y56" s="9" t="s">
        <v>8</v>
      </c>
      <c r="Z56" s="45">
        <f>G13/L5</f>
        <v>4.5999999999999996</v>
      </c>
      <c r="AA56" s="9">
        <f t="shared" si="8"/>
        <v>6200.4166666666652</v>
      </c>
      <c r="AB56" s="31">
        <f>(($K$23*$J$23)+($K$24*$J$24)+($K$25*$J$25)+($K$26*$J$26))*Z56</f>
        <v>1000.04</v>
      </c>
      <c r="AC56" s="36">
        <f t="shared" si="11"/>
        <v>7200.4566666666651</v>
      </c>
    </row>
    <row r="57" spans="2:29" x14ac:dyDescent="0.2">
      <c r="B57" s="758"/>
      <c r="D57" s="773"/>
      <c r="E57" s="27" t="s">
        <v>49</v>
      </c>
      <c r="F57" s="9" t="s">
        <v>75</v>
      </c>
      <c r="G57" s="9" t="s">
        <v>10</v>
      </c>
      <c r="H57" s="45">
        <f>E21</f>
        <v>6</v>
      </c>
      <c r="I57" s="31">
        <f t="shared" si="6"/>
        <v>9900</v>
      </c>
      <c r="J57" s="31">
        <f>(($K$19*$J$19)+($K$20*$J$20)+($K$21*$J$21)+($K$22*$J$22))*H57</f>
        <v>1307.1600000000001</v>
      </c>
      <c r="K57" s="36">
        <f t="shared" si="9"/>
        <v>11207.16</v>
      </c>
      <c r="L57" s="19"/>
      <c r="M57" s="858"/>
      <c r="N57" s="27" t="s">
        <v>49</v>
      </c>
      <c r="O57" s="9" t="s">
        <v>115</v>
      </c>
      <c r="P57" s="9" t="s">
        <v>10</v>
      </c>
      <c r="Q57" s="45">
        <f>E21</f>
        <v>6</v>
      </c>
      <c r="R57" s="31">
        <f t="shared" si="7"/>
        <v>9900</v>
      </c>
      <c r="S57" s="31">
        <f>(($K$19*$J$19)+($K$20*$J$20)+($K$21*$J$21)+($K$22*$J$22))*Q57</f>
        <v>1307.1600000000001</v>
      </c>
      <c r="T57" s="36">
        <f t="shared" si="10"/>
        <v>11207.16</v>
      </c>
      <c r="U57" s="38"/>
      <c r="V57" s="858"/>
      <c r="W57" s="27" t="s">
        <v>49</v>
      </c>
      <c r="X57" s="9" t="s">
        <v>116</v>
      </c>
      <c r="Y57" s="9" t="s">
        <v>10</v>
      </c>
      <c r="Z57" s="45">
        <f>E21</f>
        <v>6</v>
      </c>
      <c r="AA57" s="9">
        <f t="shared" si="8"/>
        <v>8087.4999999999991</v>
      </c>
      <c r="AB57" s="31">
        <f>(($K$23*$J$23)+($K$24*$J$24)+($K$25*$J$25)+($K$26*$J$26))*Z57</f>
        <v>1304.4000000000001</v>
      </c>
      <c r="AC57" s="36">
        <f t="shared" si="11"/>
        <v>9391.9</v>
      </c>
    </row>
    <row r="58" spans="2:29" x14ac:dyDescent="0.2">
      <c r="B58" s="758"/>
      <c r="D58" s="773"/>
      <c r="E58" s="27" t="s">
        <v>11</v>
      </c>
      <c r="F58" s="9" t="s">
        <v>75</v>
      </c>
      <c r="G58" s="9" t="s">
        <v>12</v>
      </c>
      <c r="H58" s="45">
        <f>E23</f>
        <v>1</v>
      </c>
      <c r="I58" s="31">
        <f t="shared" si="6"/>
        <v>1650</v>
      </c>
      <c r="J58" s="31">
        <f>(($K$19*$J$19)+($K$20*$J$20)+($K$21*$J$21)+($K$22*$J$22))*H58</f>
        <v>217.86</v>
      </c>
      <c r="K58" s="36">
        <f t="shared" si="9"/>
        <v>1867.8600000000001</v>
      </c>
      <c r="L58" s="19"/>
      <c r="M58" s="858"/>
      <c r="N58" s="27" t="s">
        <v>11</v>
      </c>
      <c r="O58" s="9" t="s">
        <v>115</v>
      </c>
      <c r="P58" s="9" t="s">
        <v>12</v>
      </c>
      <c r="Q58" s="45">
        <f>E23</f>
        <v>1</v>
      </c>
      <c r="R58" s="31">
        <f t="shared" si="7"/>
        <v>1650</v>
      </c>
      <c r="S58" s="31">
        <f>(($K$19*$J$19)+($K$20*$J$20)+($K$21*$J$21)+($K$22*$J$22))*Q58</f>
        <v>217.86</v>
      </c>
      <c r="T58" s="36">
        <f t="shared" si="10"/>
        <v>1867.8600000000001</v>
      </c>
      <c r="U58" s="38"/>
      <c r="V58" s="858"/>
      <c r="W58" s="27" t="s">
        <v>11</v>
      </c>
      <c r="X58" s="9" t="s">
        <v>116</v>
      </c>
      <c r="Y58" s="9" t="s">
        <v>12</v>
      </c>
      <c r="Z58" s="45">
        <f>E23</f>
        <v>1</v>
      </c>
      <c r="AA58" s="9">
        <f t="shared" si="8"/>
        <v>1347.9166666666665</v>
      </c>
      <c r="AB58" s="31">
        <f>(($K$23*$J$23)+($K$24*$J$24)+($K$25*$J$25)+($K$26*$J$26))*Z58</f>
        <v>217.4</v>
      </c>
      <c r="AC58" s="36">
        <f t="shared" si="11"/>
        <v>1565.3166666666666</v>
      </c>
    </row>
    <row r="59" spans="2:29" ht="15" customHeight="1" x14ac:dyDescent="0.2">
      <c r="B59" s="758"/>
      <c r="D59" s="773"/>
      <c r="E59" s="27" t="s">
        <v>45</v>
      </c>
      <c r="F59" s="9" t="s">
        <v>75</v>
      </c>
      <c r="G59" s="9" t="s">
        <v>8</v>
      </c>
      <c r="H59" s="45">
        <f>H56</f>
        <v>0.94444444444444442</v>
      </c>
      <c r="I59" s="31">
        <f t="shared" si="6"/>
        <v>1558.3333333333333</v>
      </c>
      <c r="J59" s="31">
        <f>(($K$19*$J$19)+($K$20*$J$20)+($K$21*$J$21)+($K$22*$J$22))*H59</f>
        <v>205.75666666666666</v>
      </c>
      <c r="K59" s="36">
        <f t="shared" si="9"/>
        <v>1764.09</v>
      </c>
      <c r="L59" s="19"/>
      <c r="M59" s="858"/>
      <c r="N59" s="27" t="s">
        <v>56</v>
      </c>
      <c r="O59" s="9" t="s">
        <v>115</v>
      </c>
      <c r="P59" s="9" t="s">
        <v>8</v>
      </c>
      <c r="Q59" s="45">
        <f>Q56</f>
        <v>2.6666666666666665</v>
      </c>
      <c r="R59" s="31">
        <f t="shared" si="7"/>
        <v>4400</v>
      </c>
      <c r="S59" s="31">
        <f>(($K$19*$J$19)+($K$20*$J$20)+($K$21*$J$21)+($K$22*$J$22))*Q59</f>
        <v>580.96</v>
      </c>
      <c r="T59" s="36">
        <f t="shared" si="10"/>
        <v>4980.96</v>
      </c>
      <c r="U59" s="38"/>
      <c r="V59" s="858"/>
      <c r="W59" s="27" t="s">
        <v>59</v>
      </c>
      <c r="X59" s="9" t="s">
        <v>116</v>
      </c>
      <c r="Y59" s="9" t="s">
        <v>8</v>
      </c>
      <c r="Z59" s="45">
        <f>Z56</f>
        <v>4.5999999999999996</v>
      </c>
      <c r="AA59" s="9">
        <f t="shared" si="8"/>
        <v>6200.4166666666652</v>
      </c>
      <c r="AB59" s="31">
        <f>(($K$23*$J$23)+($K$24*$J$24)+($K$25*$J$25)+($K$26*$J$26))*Z59</f>
        <v>1000.04</v>
      </c>
      <c r="AC59" s="36">
        <f t="shared" si="11"/>
        <v>7200.4566666666651</v>
      </c>
    </row>
    <row r="60" spans="2:29" ht="15" customHeight="1" x14ac:dyDescent="0.2">
      <c r="B60" s="758"/>
      <c r="D60" s="773"/>
      <c r="E60" s="27" t="s">
        <v>44</v>
      </c>
      <c r="F60" s="9" t="s">
        <v>75</v>
      </c>
      <c r="G60" s="9" t="s">
        <v>7</v>
      </c>
      <c r="H60" s="45">
        <f>H54</f>
        <v>0.77777777777777779</v>
      </c>
      <c r="I60" s="31">
        <f t="shared" si="6"/>
        <v>1283.3333333333333</v>
      </c>
      <c r="J60" s="31">
        <f>($K$21+$K$22)*H60</f>
        <v>63.7</v>
      </c>
      <c r="K60" s="36">
        <f t="shared" si="9"/>
        <v>1347.0333333333333</v>
      </c>
      <c r="L60" s="18"/>
      <c r="M60" s="858"/>
      <c r="N60" s="27" t="s">
        <v>57</v>
      </c>
      <c r="O60" s="9" t="s">
        <v>115</v>
      </c>
      <c r="P60" s="9" t="s">
        <v>7</v>
      </c>
      <c r="Q60" s="45">
        <f>Q54</f>
        <v>0.77777777777777779</v>
      </c>
      <c r="R60" s="31">
        <f t="shared" si="7"/>
        <v>1283.3333333333333</v>
      </c>
      <c r="S60" s="31">
        <f>(($K$21*$J$21)+($K$22*$J$22))*Q60</f>
        <v>63.7</v>
      </c>
      <c r="T60" s="36">
        <f t="shared" si="10"/>
        <v>1347.0333333333333</v>
      </c>
      <c r="U60" s="38"/>
      <c r="V60" s="858"/>
      <c r="W60" s="27" t="s">
        <v>61</v>
      </c>
      <c r="X60" s="9" t="s">
        <v>116</v>
      </c>
      <c r="Y60" s="9" t="s">
        <v>7</v>
      </c>
      <c r="Z60" s="45">
        <f>Z54</f>
        <v>0</v>
      </c>
      <c r="AA60" s="9">
        <f>AA54</f>
        <v>0</v>
      </c>
      <c r="AB60" s="64">
        <f>AB54</f>
        <v>0</v>
      </c>
      <c r="AC60" s="36">
        <f t="shared" si="11"/>
        <v>0</v>
      </c>
    </row>
    <row r="61" spans="2:29" x14ac:dyDescent="0.2">
      <c r="B61" s="758"/>
      <c r="D61" s="773"/>
      <c r="E61" s="27" t="s">
        <v>13</v>
      </c>
      <c r="F61" s="9" t="s">
        <v>75</v>
      </c>
      <c r="G61" s="9" t="s">
        <v>12</v>
      </c>
      <c r="H61" s="6" t="s">
        <v>9</v>
      </c>
      <c r="I61" s="9" t="s">
        <v>9</v>
      </c>
      <c r="J61" s="9" t="s">
        <v>9</v>
      </c>
      <c r="K61" s="36">
        <f>SUM(K54:K60)*$E$17</f>
        <v>2023.1196666666667</v>
      </c>
      <c r="L61" s="21"/>
      <c r="M61" s="858"/>
      <c r="N61" s="27" t="s">
        <v>13</v>
      </c>
      <c r="O61" s="9" t="s">
        <v>115</v>
      </c>
      <c r="P61" s="9" t="s">
        <v>12</v>
      </c>
      <c r="Q61" s="6" t="s">
        <v>9</v>
      </c>
      <c r="R61" s="9" t="s">
        <v>9</v>
      </c>
      <c r="S61" s="9" t="s">
        <v>9</v>
      </c>
      <c r="T61" s="36">
        <f>SUM(T54:T60)*$E$17</f>
        <v>2666.4936666666667</v>
      </c>
      <c r="U61" s="38"/>
      <c r="V61" s="858"/>
      <c r="W61" s="27" t="s">
        <v>13</v>
      </c>
      <c r="X61" s="9" t="s">
        <v>116</v>
      </c>
      <c r="Y61" s="9" t="s">
        <v>12</v>
      </c>
      <c r="Z61" s="6" t="s">
        <v>9</v>
      </c>
      <c r="AA61" s="9" t="s">
        <v>9</v>
      </c>
      <c r="AB61" s="9" t="s">
        <v>9</v>
      </c>
      <c r="AC61" s="58">
        <f>SUM(AC54:AC60)*$E$17</f>
        <v>2614.078833333333</v>
      </c>
    </row>
    <row r="62" spans="2:29" ht="16" thickBot="1" x14ac:dyDescent="0.25">
      <c r="B62" s="758"/>
      <c r="D62" s="776"/>
      <c r="E62" s="74"/>
      <c r="F62" s="71"/>
      <c r="G62" s="29"/>
      <c r="H62" s="29"/>
      <c r="I62" s="29"/>
      <c r="J62" s="43" t="s">
        <v>48</v>
      </c>
      <c r="K62" s="37">
        <f>SUM(K54:K61)</f>
        <v>22254.316333333332</v>
      </c>
      <c r="L62" s="18"/>
      <c r="M62" s="859"/>
      <c r="N62" s="71"/>
      <c r="O62" s="71"/>
      <c r="P62" s="29"/>
      <c r="Q62" s="29"/>
      <c r="R62" s="29"/>
      <c r="S62" s="43" t="s">
        <v>48</v>
      </c>
      <c r="T62" s="37">
        <f>SUM(T54:T61)</f>
        <v>29331.43033333333</v>
      </c>
      <c r="U62" s="38"/>
      <c r="V62" s="859"/>
      <c r="W62" s="71"/>
      <c r="X62" s="71"/>
      <c r="Y62" s="29"/>
      <c r="Z62" s="29"/>
      <c r="AA62" s="29"/>
      <c r="AB62" s="43" t="s">
        <v>48</v>
      </c>
      <c r="AC62" s="37">
        <f>SUM(AC54:AC61)</f>
        <v>28754.867166666663</v>
      </c>
    </row>
    <row r="63" spans="2:29" ht="16" thickBot="1" x14ac:dyDescent="0.25">
      <c r="B63" s="758"/>
      <c r="D63" s="38"/>
      <c r="E63" s="69"/>
      <c r="F63" s="60"/>
      <c r="G63" s="60"/>
      <c r="H63" s="51"/>
      <c r="I63" s="51"/>
      <c r="J63" s="18"/>
      <c r="K63" s="19"/>
      <c r="L63" s="18"/>
      <c r="U63" s="38"/>
    </row>
    <row r="64" spans="2:29" x14ac:dyDescent="0.2">
      <c r="B64" s="758"/>
      <c r="D64" s="770" t="s">
        <v>37</v>
      </c>
      <c r="E64" s="72" t="s">
        <v>4</v>
      </c>
      <c r="F64" s="72" t="s">
        <v>35</v>
      </c>
      <c r="G64" s="75" t="s">
        <v>5</v>
      </c>
      <c r="H64" s="72" t="s">
        <v>6</v>
      </c>
      <c r="I64" s="72" t="s">
        <v>31</v>
      </c>
      <c r="J64" s="75" t="s">
        <v>29</v>
      </c>
      <c r="K64" s="76" t="s">
        <v>32</v>
      </c>
      <c r="L64" s="18"/>
      <c r="M64" s="869" t="s">
        <v>37</v>
      </c>
      <c r="N64" s="78" t="s">
        <v>4</v>
      </c>
      <c r="O64" s="72" t="s">
        <v>35</v>
      </c>
      <c r="P64" s="75" t="s">
        <v>5</v>
      </c>
      <c r="Q64" s="72" t="s">
        <v>6</v>
      </c>
      <c r="R64" s="72" t="s">
        <v>31</v>
      </c>
      <c r="S64" s="75" t="s">
        <v>29</v>
      </c>
      <c r="T64" s="76" t="s">
        <v>32</v>
      </c>
      <c r="U64" s="38"/>
      <c r="V64" s="869" t="s">
        <v>37</v>
      </c>
      <c r="W64" s="78" t="s">
        <v>4</v>
      </c>
      <c r="X64" s="72" t="s">
        <v>35</v>
      </c>
      <c r="Y64" s="75" t="s">
        <v>5</v>
      </c>
      <c r="Z64" s="72" t="s">
        <v>77</v>
      </c>
      <c r="AA64" s="72" t="s">
        <v>31</v>
      </c>
      <c r="AB64" s="75" t="s">
        <v>29</v>
      </c>
      <c r="AC64" s="76" t="s">
        <v>32</v>
      </c>
    </row>
    <row r="65" spans="2:29" x14ac:dyDescent="0.2">
      <c r="B65" s="758"/>
      <c r="D65" s="773"/>
      <c r="E65" s="27" t="s">
        <v>43</v>
      </c>
      <c r="F65" s="9" t="s">
        <v>75</v>
      </c>
      <c r="G65" s="9" t="s">
        <v>7</v>
      </c>
      <c r="H65" s="46">
        <f>(E9/J5)</f>
        <v>0.77777777777777779</v>
      </c>
      <c r="I65" s="31">
        <f t="shared" ref="I65:I71" si="12">($J$6+$J$8)*H65</f>
        <v>1283.3333333333333</v>
      </c>
      <c r="J65" s="16">
        <f>($K$21+$K$22)*H65</f>
        <v>63.7</v>
      </c>
      <c r="K65" s="7">
        <f>I65+J65</f>
        <v>1347.0333333333333</v>
      </c>
      <c r="L65" s="18"/>
      <c r="M65" s="858"/>
      <c r="N65" s="39" t="s">
        <v>54</v>
      </c>
      <c r="O65" s="9" t="s">
        <v>115</v>
      </c>
      <c r="P65" s="9" t="s">
        <v>7</v>
      </c>
      <c r="Q65" s="46">
        <f>F9/K5</f>
        <v>0.77777777777777779</v>
      </c>
      <c r="R65" s="31">
        <f t="shared" ref="R65:R71" si="13">($K$6+$K$8)*Q65</f>
        <v>1283.3333333333333</v>
      </c>
      <c r="S65" s="16">
        <f>(($K$21*$J$21)+($K$22*$J$22))*Q65</f>
        <v>63.7</v>
      </c>
      <c r="T65" s="7">
        <f>R65+S65</f>
        <v>1347.0333333333333</v>
      </c>
      <c r="U65" s="38"/>
      <c r="V65" s="858"/>
      <c r="W65" s="39" t="s">
        <v>60</v>
      </c>
      <c r="X65" s="9" t="s">
        <v>116</v>
      </c>
      <c r="Y65" s="9" t="s">
        <v>7</v>
      </c>
      <c r="Z65" s="46">
        <f>G9/L5</f>
        <v>0</v>
      </c>
      <c r="AA65" s="9">
        <f t="shared" ref="AA65:AA70" si="14">($L$6+$L$8)*Z65</f>
        <v>0</v>
      </c>
      <c r="AB65" s="79">
        <f>($K$25+$K$26)*Z65</f>
        <v>0</v>
      </c>
      <c r="AC65" s="7">
        <f>AA65+AB65</f>
        <v>0</v>
      </c>
    </row>
    <row r="66" spans="2:29" x14ac:dyDescent="0.2">
      <c r="B66" s="758"/>
      <c r="D66" s="773"/>
      <c r="E66" s="56" t="s">
        <v>105</v>
      </c>
      <c r="F66" s="9" t="s">
        <v>75</v>
      </c>
      <c r="G66" s="11" t="s">
        <v>12</v>
      </c>
      <c r="H66" s="47">
        <f>E18</f>
        <v>0.5</v>
      </c>
      <c r="I66" s="31">
        <f t="shared" si="12"/>
        <v>825</v>
      </c>
      <c r="J66" s="16">
        <f>(($K$19*$J$19)+($K$20*$J$20)+($K$21*$J$21)+($K$22*$J$22))*H66</f>
        <v>108.93</v>
      </c>
      <c r="K66" s="7">
        <f t="shared" ref="K66:K71" si="15">I66+J66</f>
        <v>933.93000000000006</v>
      </c>
      <c r="L66" s="18"/>
      <c r="M66" s="858"/>
      <c r="N66" s="56" t="s">
        <v>105</v>
      </c>
      <c r="O66" s="9" t="s">
        <v>115</v>
      </c>
      <c r="P66" s="9" t="s">
        <v>12</v>
      </c>
      <c r="Q66" s="3">
        <f>E18</f>
        <v>0.5</v>
      </c>
      <c r="R66" s="31">
        <f t="shared" si="13"/>
        <v>825</v>
      </c>
      <c r="S66" s="16">
        <f>(($K$19*$J$19)+($K$20*$J$20)+($K$21*$J$21)+($K$22*$J$22))*Q66</f>
        <v>108.93</v>
      </c>
      <c r="T66" s="7">
        <f t="shared" ref="T66:T71" si="16">R66+S66</f>
        <v>933.93000000000006</v>
      </c>
      <c r="U66" s="38"/>
      <c r="V66" s="858"/>
      <c r="W66" s="56" t="s">
        <v>105</v>
      </c>
      <c r="X66" s="9" t="s">
        <v>116</v>
      </c>
      <c r="Y66" s="9" t="s">
        <v>12</v>
      </c>
      <c r="Z66" s="3">
        <f>E18</f>
        <v>0.5</v>
      </c>
      <c r="AA66" s="9">
        <f t="shared" si="14"/>
        <v>673.95833333333326</v>
      </c>
      <c r="AB66" s="16">
        <f>(($K$23*$J$23)+($K$24*$J$24)+($K$25*$J$25)+($K$26*$J$26))*Z66</f>
        <v>108.7</v>
      </c>
      <c r="AC66" s="7">
        <f t="shared" ref="AC66:AC71" si="17">AA66+AB66</f>
        <v>782.6583333333333</v>
      </c>
    </row>
    <row r="67" spans="2:29" x14ac:dyDescent="0.2">
      <c r="B67" s="758"/>
      <c r="D67" s="773"/>
      <c r="E67" s="27" t="s">
        <v>42</v>
      </c>
      <c r="F67" s="9" t="s">
        <v>75</v>
      </c>
      <c r="G67" s="11" t="s">
        <v>8</v>
      </c>
      <c r="H67" s="45">
        <f>(E13/J5)</f>
        <v>0.94444444444444442</v>
      </c>
      <c r="I67" s="31">
        <f t="shared" si="12"/>
        <v>1558.3333333333333</v>
      </c>
      <c r="J67" s="16">
        <f>(($K$19*$J$19)+($K$20*$J$20)+($K$21*$J$21)+($K$22*$J$22))*H67</f>
        <v>205.75666666666666</v>
      </c>
      <c r="K67" s="7">
        <f t="shared" si="15"/>
        <v>1764.09</v>
      </c>
      <c r="L67" s="18"/>
      <c r="M67" s="858"/>
      <c r="N67" s="39" t="s">
        <v>55</v>
      </c>
      <c r="O67" s="9" t="s">
        <v>115</v>
      </c>
      <c r="P67" s="9" t="s">
        <v>8</v>
      </c>
      <c r="Q67" s="45">
        <f>F13/K5</f>
        <v>2.6666666666666665</v>
      </c>
      <c r="R67" s="31">
        <f t="shared" si="13"/>
        <v>4400</v>
      </c>
      <c r="S67" s="16">
        <f>(($K$19*$J$19)+($K$20*$J$20)+($K$21*$J$21)+($K$22*$J$22))*Q67</f>
        <v>580.96</v>
      </c>
      <c r="T67" s="7">
        <f t="shared" si="16"/>
        <v>4980.96</v>
      </c>
      <c r="U67" s="38"/>
      <c r="V67" s="858"/>
      <c r="W67" s="39" t="s">
        <v>58</v>
      </c>
      <c r="X67" s="9" t="s">
        <v>116</v>
      </c>
      <c r="Y67" s="9" t="s">
        <v>8</v>
      </c>
      <c r="Z67" s="45">
        <f>G13/L5</f>
        <v>4.5999999999999996</v>
      </c>
      <c r="AA67" s="9">
        <f t="shared" si="14"/>
        <v>6200.4166666666652</v>
      </c>
      <c r="AB67" s="16">
        <f>(($K$23*$J$23)+($K$24*$J$24)+($K$25*$J$25)+($K$26*$J$26))*Z67</f>
        <v>1000.04</v>
      </c>
      <c r="AC67" s="7">
        <f t="shared" si="17"/>
        <v>7200.4566666666651</v>
      </c>
    </row>
    <row r="68" spans="2:29" ht="15" customHeight="1" x14ac:dyDescent="0.2">
      <c r="B68" s="758"/>
      <c r="D68" s="773"/>
      <c r="E68" s="27" t="s">
        <v>50</v>
      </c>
      <c r="F68" s="9" t="s">
        <v>75</v>
      </c>
      <c r="G68" s="11" t="s">
        <v>10</v>
      </c>
      <c r="H68" s="45">
        <f>E22</f>
        <v>3</v>
      </c>
      <c r="I68" s="31">
        <f t="shared" si="12"/>
        <v>4950</v>
      </c>
      <c r="J68" s="16">
        <f>(($K$19*$J$19)+($K$20*$J$20)+($K$21*$J$21)+($K$22*$J$22))*H68</f>
        <v>653.58000000000004</v>
      </c>
      <c r="K68" s="7">
        <f t="shared" si="15"/>
        <v>5603.58</v>
      </c>
      <c r="L68" s="18"/>
      <c r="M68" s="858"/>
      <c r="N68" s="39" t="s">
        <v>50</v>
      </c>
      <c r="O68" s="9" t="s">
        <v>115</v>
      </c>
      <c r="P68" s="9" t="s">
        <v>10</v>
      </c>
      <c r="Q68" s="45">
        <f>E22</f>
        <v>3</v>
      </c>
      <c r="R68" s="31">
        <f t="shared" si="13"/>
        <v>4950</v>
      </c>
      <c r="S68" s="16">
        <f>(($K$19*$J$19)+($K$20*$J$20)+($K$21*$J$21)+($K$22*$J$22))*Q68</f>
        <v>653.58000000000004</v>
      </c>
      <c r="T68" s="7">
        <f t="shared" si="16"/>
        <v>5603.58</v>
      </c>
      <c r="U68" s="38"/>
      <c r="V68" s="858"/>
      <c r="W68" s="39" t="s">
        <v>50</v>
      </c>
      <c r="X68" s="9" t="s">
        <v>116</v>
      </c>
      <c r="Y68" s="9" t="s">
        <v>10</v>
      </c>
      <c r="Z68" s="45">
        <f>E22</f>
        <v>3</v>
      </c>
      <c r="AA68" s="9">
        <f t="shared" si="14"/>
        <v>4043.7499999999995</v>
      </c>
      <c r="AB68" s="16">
        <f>(($K$23*$J$23)+($K$24*$J$24)+($K$25*$J$25)+($K$26*$J$26))*Z68</f>
        <v>652.20000000000005</v>
      </c>
      <c r="AC68" s="7">
        <f t="shared" si="17"/>
        <v>4695.95</v>
      </c>
    </row>
    <row r="69" spans="2:29" x14ac:dyDescent="0.2">
      <c r="B69" s="758"/>
      <c r="D69" s="773"/>
      <c r="E69" s="27" t="s">
        <v>11</v>
      </c>
      <c r="F69" s="9" t="s">
        <v>75</v>
      </c>
      <c r="G69" s="11" t="s">
        <v>12</v>
      </c>
      <c r="H69" s="45">
        <f>E23</f>
        <v>1</v>
      </c>
      <c r="I69" s="31">
        <f t="shared" si="12"/>
        <v>1650</v>
      </c>
      <c r="J69" s="16">
        <f>(($K$19*$J$19)+($K$20*$J$20)+($K$21*$J$21)+($K$22*$J$22))*H69</f>
        <v>217.86</v>
      </c>
      <c r="K69" s="7">
        <f t="shared" si="15"/>
        <v>1867.8600000000001</v>
      </c>
      <c r="L69" s="18"/>
      <c r="M69" s="858"/>
      <c r="N69" s="39" t="s">
        <v>11</v>
      </c>
      <c r="O69" s="9" t="s">
        <v>115</v>
      </c>
      <c r="P69" s="9" t="s">
        <v>12</v>
      </c>
      <c r="Q69" s="45">
        <f>E23</f>
        <v>1</v>
      </c>
      <c r="R69" s="31">
        <f t="shared" si="13"/>
        <v>1650</v>
      </c>
      <c r="S69" s="16">
        <f>(($K$19*$J$19)+($K$20*$J$20)+($K$21*$J$21)+($K$22*$J$22))*Q69</f>
        <v>217.86</v>
      </c>
      <c r="T69" s="7">
        <f t="shared" si="16"/>
        <v>1867.8600000000001</v>
      </c>
      <c r="U69" s="38"/>
      <c r="V69" s="858"/>
      <c r="W69" s="39" t="s">
        <v>11</v>
      </c>
      <c r="X69" s="9" t="s">
        <v>116</v>
      </c>
      <c r="Y69" s="9" t="s">
        <v>12</v>
      </c>
      <c r="Z69" s="45">
        <f>E23</f>
        <v>1</v>
      </c>
      <c r="AA69" s="9">
        <f t="shared" si="14"/>
        <v>1347.9166666666665</v>
      </c>
      <c r="AB69" s="16">
        <f>(($K$23*$J$23)+($K$24*$J$24)+($K$25*$J$25)+($K$26*$J$26))*Z69</f>
        <v>217.4</v>
      </c>
      <c r="AC69" s="7">
        <f t="shared" si="17"/>
        <v>1565.3166666666666</v>
      </c>
    </row>
    <row r="70" spans="2:29" x14ac:dyDescent="0.2">
      <c r="B70" s="758"/>
      <c r="D70" s="773"/>
      <c r="E70" s="27" t="s">
        <v>45</v>
      </c>
      <c r="F70" s="9" t="s">
        <v>75</v>
      </c>
      <c r="G70" s="11" t="s">
        <v>8</v>
      </c>
      <c r="H70" s="45">
        <f>H67</f>
        <v>0.94444444444444442</v>
      </c>
      <c r="I70" s="31">
        <f t="shared" si="12"/>
        <v>1558.3333333333333</v>
      </c>
      <c r="J70" s="16">
        <f>(($K$19*$J$19)+($K$20*$J$20)+($K$21*$J$21)+($K$22*$J$22))*H70</f>
        <v>205.75666666666666</v>
      </c>
      <c r="K70" s="7">
        <f t="shared" si="15"/>
        <v>1764.09</v>
      </c>
      <c r="L70" s="18"/>
      <c r="M70" s="858"/>
      <c r="N70" s="39" t="s">
        <v>56</v>
      </c>
      <c r="O70" s="9" t="s">
        <v>115</v>
      </c>
      <c r="P70" s="9" t="s">
        <v>8</v>
      </c>
      <c r="Q70" s="45">
        <f>Q67</f>
        <v>2.6666666666666665</v>
      </c>
      <c r="R70" s="31">
        <f t="shared" si="13"/>
        <v>4400</v>
      </c>
      <c r="S70" s="16">
        <f>(($K$19*$J$19)+($K$20*$J$20)+($K$21*$J$21)+($K$22*$J$22))*Q70</f>
        <v>580.96</v>
      </c>
      <c r="T70" s="7">
        <f t="shared" si="16"/>
        <v>4980.96</v>
      </c>
      <c r="U70" s="38"/>
      <c r="V70" s="858"/>
      <c r="W70" s="39" t="s">
        <v>59</v>
      </c>
      <c r="X70" s="9" t="s">
        <v>116</v>
      </c>
      <c r="Y70" s="9" t="s">
        <v>8</v>
      </c>
      <c r="Z70" s="45">
        <f>Z67</f>
        <v>4.5999999999999996</v>
      </c>
      <c r="AA70" s="9">
        <f t="shared" si="14"/>
        <v>6200.4166666666652</v>
      </c>
      <c r="AB70" s="16">
        <f>(($K$23*$J$23)+($K$24*$J$24)+($K$25*$J$25)+($K$26*$J$26))*Z70</f>
        <v>1000.04</v>
      </c>
      <c r="AC70" s="7">
        <f t="shared" si="17"/>
        <v>7200.4566666666651</v>
      </c>
    </row>
    <row r="71" spans="2:29" x14ac:dyDescent="0.2">
      <c r="B71" s="758"/>
      <c r="D71" s="773"/>
      <c r="E71" s="27" t="s">
        <v>44</v>
      </c>
      <c r="F71" s="9" t="s">
        <v>75</v>
      </c>
      <c r="G71" s="11" t="s">
        <v>7</v>
      </c>
      <c r="H71" s="45">
        <f>H65</f>
        <v>0.77777777777777779</v>
      </c>
      <c r="I71" s="31">
        <f t="shared" si="12"/>
        <v>1283.3333333333333</v>
      </c>
      <c r="J71" s="16">
        <f>($K$21+$K$22)*H71</f>
        <v>63.7</v>
      </c>
      <c r="K71" s="7">
        <f t="shared" si="15"/>
        <v>1347.0333333333333</v>
      </c>
      <c r="L71" s="13"/>
      <c r="M71" s="858"/>
      <c r="N71" s="39" t="s">
        <v>57</v>
      </c>
      <c r="O71" s="9" t="s">
        <v>115</v>
      </c>
      <c r="P71" s="9" t="s">
        <v>7</v>
      </c>
      <c r="Q71" s="45">
        <f>Q65</f>
        <v>0.77777777777777779</v>
      </c>
      <c r="R71" s="31">
        <f t="shared" si="13"/>
        <v>1283.3333333333333</v>
      </c>
      <c r="S71" s="16">
        <f>(($K$21*$J$21)+($K$22*$J$22))*Q65</f>
        <v>63.7</v>
      </c>
      <c r="T71" s="7">
        <f t="shared" si="16"/>
        <v>1347.0333333333333</v>
      </c>
      <c r="U71" s="38"/>
      <c r="V71" s="858"/>
      <c r="W71" s="39" t="s">
        <v>61</v>
      </c>
      <c r="X71" s="9" t="s">
        <v>116</v>
      </c>
      <c r="Y71" s="9" t="s">
        <v>7</v>
      </c>
      <c r="Z71" s="45">
        <f>Z65</f>
        <v>0</v>
      </c>
      <c r="AA71" s="9">
        <f>AA65</f>
        <v>0</v>
      </c>
      <c r="AB71" s="79">
        <f>AB65</f>
        <v>0</v>
      </c>
      <c r="AC71" s="7">
        <f t="shared" si="17"/>
        <v>0</v>
      </c>
    </row>
    <row r="72" spans="2:29" x14ac:dyDescent="0.2">
      <c r="B72" s="758"/>
      <c r="D72" s="773"/>
      <c r="E72" s="27" t="s">
        <v>13</v>
      </c>
      <c r="F72" s="9" t="s">
        <v>75</v>
      </c>
      <c r="G72" s="11" t="s">
        <v>12</v>
      </c>
      <c r="H72" s="6" t="s">
        <v>9</v>
      </c>
      <c r="I72" s="9" t="s">
        <v>9</v>
      </c>
      <c r="J72" s="11" t="s">
        <v>9</v>
      </c>
      <c r="K72" s="7">
        <f>SUM(K65:K71)*$E$17</f>
        <v>1462.7616666666668</v>
      </c>
      <c r="L72" s="5"/>
      <c r="M72" s="858"/>
      <c r="N72" s="39" t="s">
        <v>13</v>
      </c>
      <c r="O72" s="9" t="s">
        <v>115</v>
      </c>
      <c r="P72" s="9" t="s">
        <v>12</v>
      </c>
      <c r="Q72" s="6" t="s">
        <v>9</v>
      </c>
      <c r="R72" s="9" t="s">
        <v>9</v>
      </c>
      <c r="S72" s="11" t="s">
        <v>9</v>
      </c>
      <c r="T72" s="7">
        <f>SUM(T65:T71)*$E$17</f>
        <v>2106.1356666666666</v>
      </c>
      <c r="U72" s="787"/>
      <c r="V72" s="858"/>
      <c r="W72" s="39" t="s">
        <v>13</v>
      </c>
      <c r="X72" s="9" t="s">
        <v>116</v>
      </c>
      <c r="Y72" s="9" t="s">
        <v>12</v>
      </c>
      <c r="Z72" s="6" t="s">
        <v>9</v>
      </c>
      <c r="AA72" s="9" t="s">
        <v>9</v>
      </c>
      <c r="AB72" s="11" t="s">
        <v>9</v>
      </c>
      <c r="AC72" s="55">
        <f>SUM(AC65:AC71)*$E$17</f>
        <v>2144.4838333333332</v>
      </c>
    </row>
    <row r="73" spans="2:29" ht="16" thickBot="1" x14ac:dyDescent="0.25">
      <c r="B73" s="758"/>
      <c r="D73" s="776"/>
      <c r="E73" s="57"/>
      <c r="F73" s="42"/>
      <c r="G73" s="42"/>
      <c r="H73" s="29"/>
      <c r="I73" s="29"/>
      <c r="J73" s="43" t="s">
        <v>71</v>
      </c>
      <c r="K73" s="37">
        <f>SUM(K64:K72)</f>
        <v>16090.378333333334</v>
      </c>
      <c r="M73" s="859"/>
      <c r="N73" s="42"/>
      <c r="O73" s="42"/>
      <c r="P73" s="42"/>
      <c r="Q73" s="29"/>
      <c r="R73" s="29"/>
      <c r="S73" s="43" t="s">
        <v>71</v>
      </c>
      <c r="T73" s="37">
        <f>SUM(T64:T72)</f>
        <v>23167.492333333332</v>
      </c>
      <c r="U73" s="787"/>
      <c r="V73" s="859"/>
      <c r="W73" s="42"/>
      <c r="X73" s="42"/>
      <c r="Y73" s="42"/>
      <c r="Z73" s="29"/>
      <c r="AA73" s="29"/>
      <c r="AB73" s="43" t="s">
        <v>71</v>
      </c>
      <c r="AC73" s="37">
        <f>SUM(AC64:AC72)</f>
        <v>23589.322166666661</v>
      </c>
    </row>
    <row r="74" spans="2:29" ht="16" thickBot="1" x14ac:dyDescent="0.25">
      <c r="B74" s="758"/>
      <c r="U74" s="787"/>
    </row>
    <row r="75" spans="2:29" ht="15" customHeight="1" x14ac:dyDescent="0.2">
      <c r="B75" s="758"/>
      <c r="D75" s="860" t="s">
        <v>163</v>
      </c>
      <c r="E75" s="72" t="s">
        <v>4</v>
      </c>
      <c r="F75" s="72" t="s">
        <v>35</v>
      </c>
      <c r="G75" s="77" t="s">
        <v>5</v>
      </c>
      <c r="H75" s="72" t="s">
        <v>77</v>
      </c>
      <c r="I75" s="72" t="s">
        <v>31</v>
      </c>
      <c r="J75" s="72" t="s">
        <v>29</v>
      </c>
      <c r="K75" s="76" t="s">
        <v>32</v>
      </c>
      <c r="M75" s="860" t="s">
        <v>163</v>
      </c>
      <c r="N75" s="78" t="s">
        <v>4</v>
      </c>
      <c r="O75" s="72" t="s">
        <v>35</v>
      </c>
      <c r="P75" s="75" t="s">
        <v>5</v>
      </c>
      <c r="Q75" s="72" t="s">
        <v>77</v>
      </c>
      <c r="R75" s="72" t="s">
        <v>31</v>
      </c>
      <c r="S75" s="75" t="s">
        <v>29</v>
      </c>
      <c r="T75" s="76" t="s">
        <v>32</v>
      </c>
      <c r="U75" s="787"/>
      <c r="V75" s="860" t="s">
        <v>163</v>
      </c>
      <c r="W75" s="78" t="s">
        <v>4</v>
      </c>
      <c r="X75" s="72" t="s">
        <v>35</v>
      </c>
      <c r="Y75" s="75" t="s">
        <v>5</v>
      </c>
      <c r="Z75" s="72" t="s">
        <v>77</v>
      </c>
      <c r="AA75" s="72" t="s">
        <v>31</v>
      </c>
      <c r="AB75" s="75" t="s">
        <v>29</v>
      </c>
      <c r="AC75" s="76" t="s">
        <v>32</v>
      </c>
    </row>
    <row r="76" spans="2:29" ht="16" x14ac:dyDescent="0.2">
      <c r="B76" s="758"/>
      <c r="D76" s="861"/>
      <c r="E76" s="39" t="s">
        <v>43</v>
      </c>
      <c r="F76" s="9" t="s">
        <v>75</v>
      </c>
      <c r="G76" s="9" t="s">
        <v>46</v>
      </c>
      <c r="H76" s="3">
        <f>E9/J5</f>
        <v>0.77777777777777779</v>
      </c>
      <c r="I76" s="31">
        <f>($J$6+$J$8)*H76</f>
        <v>1283.3333333333333</v>
      </c>
      <c r="J76" s="16">
        <f>($K$21+$K$22)*H76</f>
        <v>63.7</v>
      </c>
      <c r="K76" s="7">
        <f>I76+J76</f>
        <v>1347.0333333333333</v>
      </c>
      <c r="L76" s="4"/>
      <c r="M76" s="861"/>
      <c r="N76" s="39" t="s">
        <v>54</v>
      </c>
      <c r="O76" s="9" t="s">
        <v>115</v>
      </c>
      <c r="P76" s="9" t="s">
        <v>46</v>
      </c>
      <c r="Q76" s="3">
        <f>F9/K5</f>
        <v>0.77777777777777779</v>
      </c>
      <c r="R76" s="31">
        <f>($K$6+$K$8)*Q76</f>
        <v>1283.3333333333333</v>
      </c>
      <c r="S76" s="16">
        <f>(($K$21*$J$21)+($K$22*$J$22))*Q76</f>
        <v>63.7</v>
      </c>
      <c r="T76" s="7">
        <f>R76+S76</f>
        <v>1347.0333333333333</v>
      </c>
      <c r="U76" s="787"/>
      <c r="V76" s="861"/>
      <c r="W76" s="39" t="s">
        <v>60</v>
      </c>
      <c r="X76" s="9" t="s">
        <v>116</v>
      </c>
      <c r="Y76" s="27" t="s">
        <v>46</v>
      </c>
      <c r="Z76" s="3">
        <f>G9/L5</f>
        <v>0</v>
      </c>
      <c r="AA76" s="31">
        <f>($L$6+$L$8)*Z76</f>
        <v>0</v>
      </c>
      <c r="AB76" s="16">
        <f>($K$25+$K$26)*Z76</f>
        <v>0</v>
      </c>
      <c r="AC76" s="7">
        <f>AA76+AB76</f>
        <v>0</v>
      </c>
    </row>
    <row r="77" spans="2:29" ht="16" x14ac:dyDescent="0.2">
      <c r="B77" s="758"/>
      <c r="D77" s="861"/>
      <c r="E77" s="39" t="s">
        <v>42</v>
      </c>
      <c r="F77" s="9" t="s">
        <v>75</v>
      </c>
      <c r="G77" s="11" t="s">
        <v>8</v>
      </c>
      <c r="H77" s="45">
        <f>E13/J5</f>
        <v>0.94444444444444442</v>
      </c>
      <c r="I77" s="31">
        <f>($J$6+$J$8)*H77</f>
        <v>1558.3333333333333</v>
      </c>
      <c r="J77" s="16">
        <f>(($K$19*$J$19)+($K$20*$J$20)+($K$21*$J$21)+($K$22*$J$22))*H77</f>
        <v>205.75666666666666</v>
      </c>
      <c r="K77" s="7">
        <f t="shared" ref="K77:K80" si="18">I77+J77</f>
        <v>1764.09</v>
      </c>
      <c r="L77" s="4"/>
      <c r="M77" s="861"/>
      <c r="N77" s="39" t="s">
        <v>55</v>
      </c>
      <c r="O77" s="9" t="s">
        <v>115</v>
      </c>
      <c r="P77" s="11" t="s">
        <v>8</v>
      </c>
      <c r="Q77" s="45">
        <f>F13/K5</f>
        <v>2.6666666666666665</v>
      </c>
      <c r="R77" s="31">
        <f>($K$6+$K$8)*Q77</f>
        <v>4400</v>
      </c>
      <c r="S77" s="16">
        <f>(($K$19*$J$19)+($K$20*$J$20)+($K$21*$J$21)+($K$22*$J$22))*Q77</f>
        <v>580.96</v>
      </c>
      <c r="T77" s="7">
        <f t="shared" ref="T77:T80" si="19">R77+S77</f>
        <v>4980.96</v>
      </c>
      <c r="U77" s="787"/>
      <c r="V77" s="861"/>
      <c r="W77" s="39" t="s">
        <v>58</v>
      </c>
      <c r="X77" s="9" t="s">
        <v>116</v>
      </c>
      <c r="Y77" s="28" t="s">
        <v>8</v>
      </c>
      <c r="Z77" s="45">
        <f>G13/L5</f>
        <v>4.5999999999999996</v>
      </c>
      <c r="AA77" s="31">
        <f>($L$6+$L$8)*Z77</f>
        <v>6200.4166666666652</v>
      </c>
      <c r="AB77" s="16">
        <f>(($K$23*$J$23)+($K$24*$J$24)+($K$25*$J$25)+($K$26*$J$26))*Z77</f>
        <v>1000.04</v>
      </c>
      <c r="AC77" s="7">
        <f t="shared" ref="AC77:AC80" si="20">AA77+AB77</f>
        <v>7200.4566666666651</v>
      </c>
    </row>
    <row r="78" spans="2:29" ht="16" customHeight="1" x14ac:dyDescent="0.2">
      <c r="B78" s="758"/>
      <c r="D78" s="861"/>
      <c r="E78" s="39" t="s">
        <v>104</v>
      </c>
      <c r="F78" s="9" t="s">
        <v>75</v>
      </c>
      <c r="G78" s="11" t="s">
        <v>10</v>
      </c>
      <c r="H78" s="45">
        <f>E24</f>
        <v>0</v>
      </c>
      <c r="I78" s="31">
        <f>($J$6+$J$8)*H78</f>
        <v>0</v>
      </c>
      <c r="J78" s="16">
        <f>(($K$19*$J$19)+($K$20*$J$20)+($K$21*$J$21)+($K$22*$J$22))*H78</f>
        <v>0</v>
      </c>
      <c r="K78" s="7">
        <f>I78+J78</f>
        <v>0</v>
      </c>
      <c r="L78" s="4"/>
      <c r="M78" s="861"/>
      <c r="N78" s="39" t="s">
        <v>104</v>
      </c>
      <c r="O78" s="9" t="s">
        <v>115</v>
      </c>
      <c r="P78" s="11" t="s">
        <v>10</v>
      </c>
      <c r="Q78" s="45">
        <f>E24</f>
        <v>0</v>
      </c>
      <c r="R78" s="31">
        <f>($K$6+$K$8)*Q78</f>
        <v>0</v>
      </c>
      <c r="S78" s="16">
        <f>(($K$19*$J$19)+($K$20*$J$20)+($K$21*$J$21)+($K$22*$J$22))*Q78</f>
        <v>0</v>
      </c>
      <c r="T78" s="7">
        <f t="shared" si="19"/>
        <v>0</v>
      </c>
      <c r="U78" s="787"/>
      <c r="V78" s="861"/>
      <c r="W78" s="39" t="s">
        <v>104</v>
      </c>
      <c r="X78" s="9" t="s">
        <v>116</v>
      </c>
      <c r="Y78" s="28" t="s">
        <v>10</v>
      </c>
      <c r="Z78" s="45">
        <f>E24</f>
        <v>0</v>
      </c>
      <c r="AA78" s="31">
        <f>($L$6+$L$8)*Z78</f>
        <v>0</v>
      </c>
      <c r="AB78" s="16">
        <f>(($K$23*$J$23)+($K$24*$J$24)+($K$25*$J$25)+($K$26*$J$26))*Z78</f>
        <v>0</v>
      </c>
      <c r="AC78" s="7">
        <f t="shared" si="20"/>
        <v>0</v>
      </c>
    </row>
    <row r="79" spans="2:29" ht="16" x14ac:dyDescent="0.2">
      <c r="B79" s="758"/>
      <c r="D79" s="861"/>
      <c r="E79" s="39" t="s">
        <v>45</v>
      </c>
      <c r="F79" s="9" t="s">
        <v>75</v>
      </c>
      <c r="G79" s="11" t="s">
        <v>8</v>
      </c>
      <c r="H79" s="45">
        <f>H77</f>
        <v>0.94444444444444442</v>
      </c>
      <c r="I79" s="31">
        <f>($J$6+$J$8)*H79</f>
        <v>1558.3333333333333</v>
      </c>
      <c r="J79" s="16">
        <f>(($K$19*$J$19)+($K$20*$J$20)+($K$21*$J$21)+($K$22*$J$22))*H79</f>
        <v>205.75666666666666</v>
      </c>
      <c r="K79" s="7">
        <f t="shared" si="18"/>
        <v>1764.09</v>
      </c>
      <c r="L79" s="4"/>
      <c r="M79" s="861"/>
      <c r="N79" s="39" t="s">
        <v>56</v>
      </c>
      <c r="O79" s="9" t="s">
        <v>115</v>
      </c>
      <c r="P79" s="11" t="s">
        <v>8</v>
      </c>
      <c r="Q79" s="45">
        <f>Q77</f>
        <v>2.6666666666666665</v>
      </c>
      <c r="R79" s="31">
        <f>($K$6+$K$8)*Q79</f>
        <v>4400</v>
      </c>
      <c r="S79" s="16">
        <f>(($K$19*$J$19)+($K$20*$J$20)+($K$21*$J$21)+($K$22*$J$22))*Q79</f>
        <v>580.96</v>
      </c>
      <c r="T79" s="7">
        <f t="shared" si="19"/>
        <v>4980.96</v>
      </c>
      <c r="U79" s="787"/>
      <c r="V79" s="861"/>
      <c r="W79" s="39" t="s">
        <v>59</v>
      </c>
      <c r="X79" s="9" t="s">
        <v>116</v>
      </c>
      <c r="Y79" s="28" t="s">
        <v>8</v>
      </c>
      <c r="Z79" s="45">
        <f>Z77</f>
        <v>4.5999999999999996</v>
      </c>
      <c r="AA79" s="31">
        <f>($L$6+$L$8)*Z79</f>
        <v>6200.4166666666652</v>
      </c>
      <c r="AB79" s="16">
        <f>(($K$23*$J$23)+($K$24*$J$24)+($K$25*$J$25)+($K$26*$J$26))*Z79</f>
        <v>1000.04</v>
      </c>
      <c r="AC79" s="7">
        <f t="shared" si="20"/>
        <v>7200.4566666666651</v>
      </c>
    </row>
    <row r="80" spans="2:29" ht="16" x14ac:dyDescent="0.2">
      <c r="B80" s="758"/>
      <c r="D80" s="861"/>
      <c r="E80" s="39" t="s">
        <v>44</v>
      </c>
      <c r="F80" s="9" t="s">
        <v>75</v>
      </c>
      <c r="G80" s="11" t="s">
        <v>46</v>
      </c>
      <c r="H80" s="45">
        <f>H76</f>
        <v>0.77777777777777779</v>
      </c>
      <c r="I80" s="31">
        <f>($J$6+$J$8)*H80</f>
        <v>1283.3333333333333</v>
      </c>
      <c r="J80" s="16">
        <f>($K$21+$K$22)*H80</f>
        <v>63.7</v>
      </c>
      <c r="K80" s="7">
        <f t="shared" si="18"/>
        <v>1347.0333333333333</v>
      </c>
      <c r="L80" s="4"/>
      <c r="M80" s="861"/>
      <c r="N80" s="39" t="s">
        <v>57</v>
      </c>
      <c r="O80" s="9" t="s">
        <v>115</v>
      </c>
      <c r="P80" s="11" t="s">
        <v>46</v>
      </c>
      <c r="Q80" s="45">
        <f>Q76</f>
        <v>0.77777777777777779</v>
      </c>
      <c r="R80" s="31">
        <f>($K$6+$K$8)*Q80</f>
        <v>1283.3333333333333</v>
      </c>
      <c r="S80" s="16">
        <f>(($K$21*$J$21)+($K$22*$J$22))*Q80</f>
        <v>63.7</v>
      </c>
      <c r="T80" s="7">
        <f t="shared" si="19"/>
        <v>1347.0333333333333</v>
      </c>
      <c r="U80" s="787"/>
      <c r="V80" s="861"/>
      <c r="W80" s="39" t="s">
        <v>61</v>
      </c>
      <c r="X80" s="9" t="s">
        <v>116</v>
      </c>
      <c r="Y80" s="28" t="s">
        <v>46</v>
      </c>
      <c r="Z80" s="45">
        <f>Z76</f>
        <v>0</v>
      </c>
      <c r="AA80" s="31">
        <f>AA76</f>
        <v>0</v>
      </c>
      <c r="AB80" s="16">
        <f>AB76</f>
        <v>0</v>
      </c>
      <c r="AC80" s="7">
        <f t="shared" si="20"/>
        <v>0</v>
      </c>
    </row>
    <row r="81" spans="2:29" x14ac:dyDescent="0.2">
      <c r="B81" s="758"/>
      <c r="D81" s="861"/>
      <c r="E81" s="39" t="s">
        <v>13</v>
      </c>
      <c r="F81" s="9" t="s">
        <v>75</v>
      </c>
      <c r="G81" s="9" t="s">
        <v>12</v>
      </c>
      <c r="H81" s="11" t="s">
        <v>9</v>
      </c>
      <c r="I81" s="9" t="s">
        <v>9</v>
      </c>
      <c r="J81" s="16" t="s">
        <v>9</v>
      </c>
      <c r="K81" s="7">
        <f>SUM(K76:K80)*$E$17</f>
        <v>622.22466666666662</v>
      </c>
      <c r="L81" s="13"/>
      <c r="M81" s="861"/>
      <c r="N81" s="39" t="s">
        <v>13</v>
      </c>
      <c r="O81" s="9" t="s">
        <v>115</v>
      </c>
      <c r="P81" s="9" t="s">
        <v>12</v>
      </c>
      <c r="Q81" s="11" t="s">
        <v>9</v>
      </c>
      <c r="R81" s="9" t="s">
        <v>9</v>
      </c>
      <c r="S81" s="16" t="s">
        <v>9</v>
      </c>
      <c r="T81" s="7">
        <f>SUM(T76:T80)*$E$17</f>
        <v>1265.5986666666668</v>
      </c>
      <c r="U81" s="787"/>
      <c r="V81" s="861"/>
      <c r="W81" s="39" t="s">
        <v>13</v>
      </c>
      <c r="X81" s="9" t="s">
        <v>116</v>
      </c>
      <c r="Y81" s="27" t="s">
        <v>12</v>
      </c>
      <c r="Z81" s="11" t="s">
        <v>9</v>
      </c>
      <c r="AA81" s="9" t="s">
        <v>9</v>
      </c>
      <c r="AB81" s="16" t="s">
        <v>9</v>
      </c>
      <c r="AC81" s="55">
        <f>SUM(AC76:AC80)*$E$17</f>
        <v>1440.0913333333331</v>
      </c>
    </row>
    <row r="82" spans="2:29" ht="16" thickBot="1" x14ac:dyDescent="0.25">
      <c r="B82" s="758"/>
      <c r="D82" s="862"/>
      <c r="E82" s="42"/>
      <c r="F82" s="42"/>
      <c r="G82" s="42"/>
      <c r="H82" s="29"/>
      <c r="I82" s="29"/>
      <c r="J82" s="43" t="s">
        <v>122</v>
      </c>
      <c r="K82" s="37">
        <v>0</v>
      </c>
      <c r="L82" s="5"/>
      <c r="M82" s="862"/>
      <c r="N82" s="42"/>
      <c r="O82" s="42"/>
      <c r="P82" s="42"/>
      <c r="Q82" s="29"/>
      <c r="R82" s="29"/>
      <c r="S82" s="43" t="s">
        <v>122</v>
      </c>
      <c r="T82" s="37">
        <v>0</v>
      </c>
      <c r="U82" s="787"/>
      <c r="V82" s="862"/>
      <c r="W82" s="42"/>
      <c r="X82" s="42"/>
      <c r="Y82" s="42"/>
      <c r="Z82" s="29"/>
      <c r="AA82" s="29"/>
      <c r="AB82" s="43" t="s">
        <v>122</v>
      </c>
      <c r="AC82" s="37">
        <v>0</v>
      </c>
    </row>
    <row r="83" spans="2:29" ht="16" thickBot="1" x14ac:dyDescent="0.25">
      <c r="B83" s="758"/>
      <c r="L83" s="20"/>
      <c r="U83" s="787"/>
    </row>
    <row r="84" spans="2:29" x14ac:dyDescent="0.2">
      <c r="B84" s="758"/>
      <c r="D84" s="860" t="s">
        <v>117</v>
      </c>
      <c r="E84" s="75" t="s">
        <v>213</v>
      </c>
      <c r="F84" s="73" t="s">
        <v>142</v>
      </c>
      <c r="L84" s="20"/>
      <c r="M84" s="860" t="s">
        <v>117</v>
      </c>
      <c r="N84" s="75" t="s">
        <v>213</v>
      </c>
      <c r="O84" s="73" t="s">
        <v>142</v>
      </c>
      <c r="U84" s="787"/>
      <c r="V84" s="860" t="s">
        <v>117</v>
      </c>
      <c r="W84" s="75" t="s">
        <v>213</v>
      </c>
      <c r="X84" s="73" t="s">
        <v>142</v>
      </c>
    </row>
    <row r="85" spans="2:29" x14ac:dyDescent="0.2">
      <c r="B85" s="758"/>
      <c r="D85" s="861"/>
      <c r="E85" s="27" t="s">
        <v>673</v>
      </c>
      <c r="F85" s="194">
        <f>E29</f>
        <v>258</v>
      </c>
      <c r="L85" s="20"/>
      <c r="M85" s="861"/>
      <c r="N85" s="27" t="s">
        <v>673</v>
      </c>
      <c r="O85" s="194">
        <f>E29</f>
        <v>258</v>
      </c>
      <c r="U85" s="787"/>
      <c r="V85" s="861"/>
      <c r="W85" s="27" t="s">
        <v>679</v>
      </c>
      <c r="X85" s="194">
        <f>E28</f>
        <v>258</v>
      </c>
    </row>
    <row r="86" spans="2:29" x14ac:dyDescent="0.2">
      <c r="B86" s="758"/>
      <c r="D86" s="861"/>
      <c r="E86" s="27" t="s">
        <v>517</v>
      </c>
      <c r="F86" s="194">
        <f>E30</f>
        <v>2267.25</v>
      </c>
      <c r="L86" s="20"/>
      <c r="M86" s="861"/>
      <c r="N86" s="27" t="s">
        <v>518</v>
      </c>
      <c r="O86" s="194">
        <f>E31</f>
        <v>1267.25</v>
      </c>
      <c r="U86" s="787"/>
      <c r="V86" s="861"/>
      <c r="W86" s="27" t="s">
        <v>805</v>
      </c>
      <c r="X86" s="194">
        <f>E32</f>
        <v>1650</v>
      </c>
    </row>
    <row r="87" spans="2:29" x14ac:dyDescent="0.2">
      <c r="B87" s="758"/>
      <c r="D87" s="861"/>
      <c r="E87" s="27" t="s">
        <v>810</v>
      </c>
      <c r="F87" s="194">
        <v>0</v>
      </c>
      <c r="L87" s="20"/>
      <c r="M87" s="861"/>
      <c r="N87" s="27" t="s">
        <v>810</v>
      </c>
      <c r="O87" s="194">
        <f>0</f>
        <v>0</v>
      </c>
      <c r="U87" s="787"/>
      <c r="V87" s="861"/>
      <c r="W87" s="27" t="s">
        <v>810</v>
      </c>
      <c r="X87" s="194">
        <v>7065</v>
      </c>
    </row>
    <row r="88" spans="2:29" x14ac:dyDescent="0.2">
      <c r="B88" s="758"/>
      <c r="D88" s="861"/>
      <c r="E88" s="27" t="s">
        <v>811</v>
      </c>
      <c r="F88" s="194">
        <v>0</v>
      </c>
      <c r="L88" s="20"/>
      <c r="M88" s="861"/>
      <c r="N88" s="27" t="s">
        <v>811</v>
      </c>
      <c r="O88" s="194">
        <v>0</v>
      </c>
      <c r="U88" s="787"/>
      <c r="V88" s="861"/>
      <c r="W88" s="27" t="s">
        <v>811</v>
      </c>
      <c r="X88" s="194">
        <v>6794</v>
      </c>
    </row>
    <row r="89" spans="2:29" x14ac:dyDescent="0.2">
      <c r="B89" s="758"/>
      <c r="D89" s="861"/>
      <c r="E89" s="27" t="s">
        <v>675</v>
      </c>
      <c r="F89" s="194">
        <v>0</v>
      </c>
      <c r="L89" s="20"/>
      <c r="M89" s="861"/>
      <c r="N89" s="27" t="s">
        <v>675</v>
      </c>
      <c r="O89" s="194">
        <v>0</v>
      </c>
      <c r="U89" s="787"/>
      <c r="V89" s="861"/>
      <c r="W89" s="27" t="s">
        <v>675</v>
      </c>
      <c r="X89" s="194">
        <f>J34+J35</f>
        <v>6794</v>
      </c>
    </row>
    <row r="90" spans="2:29" x14ac:dyDescent="0.2">
      <c r="B90" s="758"/>
      <c r="D90" s="861"/>
      <c r="E90" s="27" t="s">
        <v>676</v>
      </c>
      <c r="F90" s="194">
        <v>0</v>
      </c>
      <c r="L90" s="20"/>
      <c r="M90" s="861"/>
      <c r="N90" s="27" t="s">
        <v>676</v>
      </c>
      <c r="O90" s="194">
        <v>0</v>
      </c>
      <c r="U90" s="787"/>
      <c r="V90" s="861"/>
      <c r="W90" s="27" t="s">
        <v>676</v>
      </c>
      <c r="X90" s="194">
        <f>J36+J37</f>
        <v>724.02</v>
      </c>
    </row>
    <row r="91" spans="2:29" ht="16" thickBot="1" x14ac:dyDescent="0.25">
      <c r="B91" s="759"/>
      <c r="D91" s="862"/>
      <c r="E91" s="43" t="s">
        <v>677</v>
      </c>
      <c r="F91" s="37">
        <f>SUM(F85:F90)</f>
        <v>2525.25</v>
      </c>
      <c r="L91" s="20"/>
      <c r="M91" s="862"/>
      <c r="N91" s="43" t="s">
        <v>677</v>
      </c>
      <c r="O91" s="37">
        <f>SUM(O85:O90)</f>
        <v>1525.25</v>
      </c>
      <c r="U91" s="787"/>
      <c r="V91" s="862"/>
      <c r="W91" s="43" t="s">
        <v>677</v>
      </c>
      <c r="X91" s="37">
        <f>SUM(X85:X90)</f>
        <v>23285.02</v>
      </c>
    </row>
    <row r="92" spans="2:29" x14ac:dyDescent="0.2">
      <c r="B92" s="12"/>
      <c r="L92" s="20"/>
      <c r="U92" s="787"/>
    </row>
    <row r="93" spans="2:29" x14ac:dyDescent="0.2">
      <c r="B93" s="12"/>
      <c r="L93" s="20"/>
      <c r="U93" s="787"/>
    </row>
    <row r="94" spans="2:29" x14ac:dyDescent="0.2">
      <c r="B94" s="12"/>
      <c r="L94" s="20"/>
      <c r="U94" s="787"/>
    </row>
    <row r="95" spans="2:29" ht="20" thickBot="1" x14ac:dyDescent="0.25">
      <c r="B95" s="12"/>
      <c r="F95" s="843"/>
      <c r="G95" s="843"/>
      <c r="H95" s="843"/>
      <c r="I95" s="843"/>
      <c r="L95" s="20"/>
      <c r="U95" s="787"/>
    </row>
    <row r="96" spans="2:29" ht="19" x14ac:dyDescent="0.2">
      <c r="B96" s="757" t="s">
        <v>26</v>
      </c>
      <c r="D96" s="852" t="s">
        <v>957</v>
      </c>
      <c r="E96" s="854"/>
      <c r="F96" s="169"/>
      <c r="G96" s="169"/>
      <c r="H96" s="169"/>
      <c r="I96" s="852" t="s">
        <v>957</v>
      </c>
      <c r="J96" s="854"/>
      <c r="L96" s="20"/>
      <c r="U96" s="787"/>
    </row>
    <row r="97" spans="2:21" ht="20" thickBot="1" x14ac:dyDescent="0.25">
      <c r="B97" s="758"/>
      <c r="D97" s="834" t="s">
        <v>1021</v>
      </c>
      <c r="E97" s="836"/>
      <c r="F97" s="232"/>
      <c r="G97" s="991" t="s">
        <v>1018</v>
      </c>
      <c r="H97" s="232"/>
      <c r="I97" s="834" t="s">
        <v>1022</v>
      </c>
      <c r="J97" s="836"/>
      <c r="U97" s="787"/>
    </row>
    <row r="98" spans="2:21" ht="30" customHeight="1" x14ac:dyDescent="0.2">
      <c r="B98" s="758"/>
      <c r="D98" s="533" t="s">
        <v>62</v>
      </c>
      <c r="E98" s="492" t="s">
        <v>212</v>
      </c>
      <c r="F98" s="232"/>
      <c r="G98" s="992"/>
      <c r="I98" s="533" t="s">
        <v>62</v>
      </c>
      <c r="J98" s="492" t="s">
        <v>212</v>
      </c>
      <c r="U98" s="787"/>
    </row>
    <row r="99" spans="2:21" ht="41" thickBot="1" x14ac:dyDescent="0.25">
      <c r="B99" s="759"/>
      <c r="D99" s="509" t="s">
        <v>927</v>
      </c>
      <c r="E99" s="196">
        <f>K82+K51+F85+F86</f>
        <v>13479.013333333334</v>
      </c>
      <c r="F99" s="187"/>
      <c r="G99" s="992"/>
      <c r="I99" s="509" t="s">
        <v>927</v>
      </c>
      <c r="J99" s="196">
        <f>K82+K51+F85+F86+K73+F88+F89</f>
        <v>29569.39166666667</v>
      </c>
      <c r="U99" s="787"/>
    </row>
    <row r="100" spans="2:21" ht="19" x14ac:dyDescent="0.2">
      <c r="B100" s="12"/>
      <c r="D100" s="489" t="s">
        <v>929</v>
      </c>
      <c r="E100" s="196">
        <f>T82+T51+O85+O86</f>
        <v>19556.12733333333</v>
      </c>
      <c r="G100" s="992"/>
      <c r="I100" s="489" t="s">
        <v>929</v>
      </c>
      <c r="J100" s="196">
        <f>T82+T51+O85+O86+T73</f>
        <v>42723.619666666666</v>
      </c>
      <c r="U100" s="787"/>
    </row>
    <row r="101" spans="2:21" ht="40" x14ac:dyDescent="0.2">
      <c r="D101" s="509" t="s">
        <v>930</v>
      </c>
      <c r="E101" s="196">
        <f>AC82+AC51+X85+X86</f>
        <v>21192.701333333327</v>
      </c>
      <c r="G101" s="992"/>
      <c r="I101" s="509" t="s">
        <v>930</v>
      </c>
      <c r="J101" s="196">
        <f>AC82+AC51+X85+X86+X88+AC73+X89+Y88</f>
        <v>58370.023499999988</v>
      </c>
      <c r="U101" s="787"/>
    </row>
    <row r="102" spans="2:21" ht="20" x14ac:dyDescent="0.2">
      <c r="D102" s="509" t="s">
        <v>923</v>
      </c>
      <c r="E102" s="196">
        <f>K82+K51+F85+F86</f>
        <v>13479.013333333334</v>
      </c>
      <c r="G102" s="992"/>
      <c r="I102" s="509" t="s">
        <v>923</v>
      </c>
      <c r="J102" s="196">
        <f>K82+K51+F85+F86+K62</f>
        <v>35733.329666666665</v>
      </c>
      <c r="U102" s="787"/>
    </row>
    <row r="103" spans="2:21" ht="19" x14ac:dyDescent="0.2">
      <c r="D103" s="489" t="s">
        <v>924</v>
      </c>
      <c r="E103" s="196">
        <f>T82+T51+O85+O86</f>
        <v>19556.12733333333</v>
      </c>
      <c r="G103" s="992"/>
      <c r="I103" s="489" t="s">
        <v>924</v>
      </c>
      <c r="J103" s="196">
        <f>T82+T51+O85+O86+T62</f>
        <v>48887.55766666666</v>
      </c>
      <c r="U103" s="787"/>
    </row>
    <row r="104" spans="2:21" ht="21" thickBot="1" x14ac:dyDescent="0.25">
      <c r="D104" s="490" t="s">
        <v>926</v>
      </c>
      <c r="E104" s="197">
        <f>AC82+AC51+X85+X86</f>
        <v>21192.701333333327</v>
      </c>
      <c r="G104" s="992"/>
      <c r="I104" s="490" t="s">
        <v>926</v>
      </c>
      <c r="J104" s="197">
        <f>AC82+AC51+X85+X86+X87+AC62+Y87+X90</f>
        <v>57736.588499999991</v>
      </c>
      <c r="U104" s="787"/>
    </row>
    <row r="105" spans="2:21" x14ac:dyDescent="0.2">
      <c r="B105" s="12"/>
      <c r="G105" s="993"/>
      <c r="U105" s="787"/>
    </row>
    <row r="106" spans="2:21" x14ac:dyDescent="0.2">
      <c r="B106" s="12"/>
      <c r="U106" s="787"/>
    </row>
    <row r="107" spans="2:21" x14ac:dyDescent="0.2">
      <c r="B107" s="12"/>
      <c r="U107" s="787"/>
    </row>
    <row r="108" spans="2:21" x14ac:dyDescent="0.2">
      <c r="B108" s="12"/>
      <c r="U108" s="787"/>
    </row>
    <row r="109" spans="2:21" x14ac:dyDescent="0.2">
      <c r="B109" s="12"/>
      <c r="U109" s="787"/>
    </row>
    <row r="110" spans="2:21" x14ac:dyDescent="0.2">
      <c r="B110" s="12"/>
      <c r="U110" s="787"/>
    </row>
    <row r="111" spans="2:21" x14ac:dyDescent="0.2">
      <c r="B111" s="12"/>
      <c r="U111" s="787"/>
    </row>
    <row r="112" spans="2:21" x14ac:dyDescent="0.2">
      <c r="B112" s="12"/>
      <c r="U112" s="787"/>
    </row>
    <row r="113" spans="2:21" x14ac:dyDescent="0.2">
      <c r="B113" s="12"/>
      <c r="U113" s="787"/>
    </row>
    <row r="114" spans="2:21" x14ac:dyDescent="0.2">
      <c r="B114" s="12"/>
      <c r="U114" s="787"/>
    </row>
    <row r="115" spans="2:21" x14ac:dyDescent="0.2">
      <c r="B115" s="12"/>
      <c r="U115" s="787"/>
    </row>
    <row r="116" spans="2:21" x14ac:dyDescent="0.2">
      <c r="B116" s="12"/>
      <c r="U116" s="787"/>
    </row>
    <row r="117" spans="2:21" x14ac:dyDescent="0.2">
      <c r="B117" s="12"/>
      <c r="U117" s="787"/>
    </row>
    <row r="118" spans="2:21" x14ac:dyDescent="0.2">
      <c r="B118" s="12"/>
      <c r="U118" s="787"/>
    </row>
    <row r="119" spans="2:21" x14ac:dyDescent="0.2">
      <c r="B119" s="12"/>
      <c r="U119" s="787"/>
    </row>
    <row r="120" spans="2:21" x14ac:dyDescent="0.2">
      <c r="B120" s="12"/>
      <c r="U120" s="787"/>
    </row>
    <row r="121" spans="2:21" x14ac:dyDescent="0.2">
      <c r="B121" s="12"/>
      <c r="U121" s="787"/>
    </row>
    <row r="122" spans="2:21" x14ac:dyDescent="0.2">
      <c r="B122" s="12"/>
      <c r="U122" s="787"/>
    </row>
    <row r="123" spans="2:21" x14ac:dyDescent="0.2">
      <c r="B123" s="12"/>
      <c r="U123" s="787"/>
    </row>
    <row r="124" spans="2:21" x14ac:dyDescent="0.2">
      <c r="B124" s="12"/>
      <c r="U124" s="787"/>
    </row>
    <row r="125" spans="2:21" x14ac:dyDescent="0.2">
      <c r="B125" s="12"/>
      <c r="U125" s="787"/>
    </row>
    <row r="126" spans="2:21" x14ac:dyDescent="0.2">
      <c r="U126" s="787"/>
    </row>
    <row r="127" spans="2:21" x14ac:dyDescent="0.2">
      <c r="U127" s="787"/>
    </row>
    <row r="128" spans="2:21" x14ac:dyDescent="0.2">
      <c r="U128" s="787"/>
    </row>
    <row r="129" spans="2:21" x14ac:dyDescent="0.2">
      <c r="U129" s="787"/>
    </row>
    <row r="130" spans="2:21" x14ac:dyDescent="0.2">
      <c r="U130" s="787"/>
    </row>
    <row r="131" spans="2:21" x14ac:dyDescent="0.2">
      <c r="U131" s="787"/>
    </row>
    <row r="132" spans="2:21" ht="17" customHeight="1" x14ac:dyDescent="0.2">
      <c r="L132" s="13"/>
      <c r="U132" s="787"/>
    </row>
    <row r="133" spans="2:21" ht="23" customHeight="1" x14ac:dyDescent="0.2"/>
    <row r="134" spans="2:21" ht="42" customHeight="1" x14ac:dyDescent="0.2">
      <c r="B134" s="12"/>
    </row>
    <row r="135" spans="2:21" ht="49" customHeight="1" x14ac:dyDescent="0.2">
      <c r="B135" s="12"/>
    </row>
    <row r="136" spans="2:21" ht="49" customHeight="1" x14ac:dyDescent="0.2">
      <c r="B136" s="12"/>
    </row>
    <row r="137" spans="2:21" x14ac:dyDescent="0.2">
      <c r="B137" s="12"/>
    </row>
    <row r="138" spans="2:21" x14ac:dyDescent="0.2">
      <c r="B138" s="12"/>
    </row>
    <row r="139" spans="2:21" x14ac:dyDescent="0.2">
      <c r="B139" s="12"/>
    </row>
    <row r="165" spans="4:11" ht="16" x14ac:dyDescent="0.2">
      <c r="D165" s="871"/>
      <c r="E165" s="871"/>
      <c r="F165" s="871"/>
      <c r="G165" s="871"/>
      <c r="H165" s="871"/>
      <c r="I165" s="871"/>
      <c r="J165" s="871"/>
      <c r="K165" s="871"/>
    </row>
    <row r="166" spans="4:11" x14ac:dyDescent="0.2">
      <c r="F166" s="872"/>
      <c r="G166" s="872"/>
      <c r="H166" s="872"/>
      <c r="I166" s="872"/>
      <c r="J166" s="872"/>
      <c r="K166" s="872"/>
    </row>
    <row r="167" spans="4:11" x14ac:dyDescent="0.2">
      <c r="D167" s="788"/>
      <c r="E167" s="48"/>
    </row>
    <row r="168" spans="4:11" x14ac:dyDescent="0.2">
      <c r="D168" s="788"/>
      <c r="E168" s="49"/>
    </row>
    <row r="169" spans="4:11" x14ac:dyDescent="0.2">
      <c r="D169" s="788"/>
      <c r="E169" s="48"/>
    </row>
    <row r="170" spans="4:11" x14ac:dyDescent="0.2">
      <c r="D170" s="788"/>
      <c r="E170" s="48"/>
    </row>
    <row r="171" spans="4:11" x14ac:dyDescent="0.2">
      <c r="D171" s="788"/>
      <c r="E171" s="50"/>
      <c r="F171" s="870"/>
      <c r="G171" s="870"/>
      <c r="H171" s="870"/>
      <c r="I171" s="870"/>
      <c r="J171" s="870"/>
      <c r="K171" s="870"/>
    </row>
    <row r="172" spans="4:11" x14ac:dyDescent="0.2">
      <c r="D172" s="787"/>
      <c r="E172" s="48"/>
    </row>
    <row r="173" spans="4:11" x14ac:dyDescent="0.2">
      <c r="D173" s="787"/>
      <c r="E173" s="49"/>
    </row>
    <row r="174" spans="4:11" x14ac:dyDescent="0.2">
      <c r="D174" s="787"/>
      <c r="E174" s="48"/>
    </row>
    <row r="175" spans="4:11" x14ac:dyDescent="0.2">
      <c r="D175" s="787"/>
      <c r="E175" s="48"/>
    </row>
    <row r="176" spans="4:11" x14ac:dyDescent="0.2">
      <c r="D176" s="787"/>
      <c r="E176" s="50"/>
      <c r="F176" s="870"/>
      <c r="G176" s="870"/>
      <c r="H176" s="870"/>
      <c r="I176" s="870"/>
      <c r="J176" s="870"/>
      <c r="K176" s="870"/>
    </row>
  </sheetData>
  <sheetProtection algorithmName="SHA-512" hashValue="bosmxJTeD/R9rsrHPH/U0GdXAlLJGqNgQoANhUH/FTKHc+fknvECdxtDFNQ4bUo5RF5BtVND0kPLQCK+juCXlA==" saltValue="AaEPL32V9vTx6AiFDdSIEg==" spinCount="100000" sheet="1" objects="1" scenarios="1"/>
  <mergeCells count="57">
    <mergeCell ref="I96:J96"/>
    <mergeCell ref="I97:J97"/>
    <mergeCell ref="G97:G105"/>
    <mergeCell ref="V41:AC41"/>
    <mergeCell ref="D42:D51"/>
    <mergeCell ref="M42:M51"/>
    <mergeCell ref="V42:V51"/>
    <mergeCell ref="U47:U52"/>
    <mergeCell ref="D41:K41"/>
    <mergeCell ref="M41:T41"/>
    <mergeCell ref="U82:U132"/>
    <mergeCell ref="D84:D91"/>
    <mergeCell ref="M84:M91"/>
    <mergeCell ref="V84:V91"/>
    <mergeCell ref="D53:D62"/>
    <mergeCell ref="M53:M62"/>
    <mergeCell ref="D96:E96"/>
    <mergeCell ref="F95:I95"/>
    <mergeCell ref="B41:B91"/>
    <mergeCell ref="D3:G3"/>
    <mergeCell ref="D15:F15"/>
    <mergeCell ref="I28:L28"/>
    <mergeCell ref="K29:L29"/>
    <mergeCell ref="F32:G32"/>
    <mergeCell ref="L30:L37"/>
    <mergeCell ref="I17:K17"/>
    <mergeCell ref="F27:G27"/>
    <mergeCell ref="F28:G28"/>
    <mergeCell ref="F29:G29"/>
    <mergeCell ref="B3:B37"/>
    <mergeCell ref="I3:L3"/>
    <mergeCell ref="F30:G30"/>
    <mergeCell ref="D26:G26"/>
    <mergeCell ref="V53:V62"/>
    <mergeCell ref="D64:D73"/>
    <mergeCell ref="M64:M73"/>
    <mergeCell ref="V64:V73"/>
    <mergeCell ref="U72:U81"/>
    <mergeCell ref="D75:D82"/>
    <mergeCell ref="M75:M82"/>
    <mergeCell ref="V75:V82"/>
    <mergeCell ref="M5:N15"/>
    <mergeCell ref="F176:G176"/>
    <mergeCell ref="B96:B99"/>
    <mergeCell ref="D165:K165"/>
    <mergeCell ref="D167:D171"/>
    <mergeCell ref="F171:G171"/>
    <mergeCell ref="H171:I171"/>
    <mergeCell ref="J171:K171"/>
    <mergeCell ref="F166:G166"/>
    <mergeCell ref="H166:I166"/>
    <mergeCell ref="J166:K166"/>
    <mergeCell ref="H176:I176"/>
    <mergeCell ref="J176:K176"/>
    <mergeCell ref="D172:D176"/>
    <mergeCell ref="D97:E97"/>
    <mergeCell ref="F31:G31"/>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A101-1BDA-264F-921D-85ED51019384}">
  <dimension ref="B1:AE106"/>
  <sheetViews>
    <sheetView zoomScaleNormal="100" workbookViewId="0">
      <selection activeCell="H24" sqref="H24"/>
    </sheetView>
  </sheetViews>
  <sheetFormatPr baseColWidth="10" defaultColWidth="8.83203125" defaultRowHeight="15" x14ac:dyDescent="0.2"/>
  <cols>
    <col min="1" max="1" width="4.1640625" style="1" customWidth="1"/>
    <col min="2" max="2" width="8.83203125" style="1"/>
    <col min="3" max="3" width="5.6640625" style="1" customWidth="1"/>
    <col min="4" max="4" width="34.1640625" style="1" bestFit="1" customWidth="1"/>
    <col min="5" max="5" width="34.83203125" style="1" bestFit="1" customWidth="1"/>
    <col min="6" max="6" width="24" style="1" customWidth="1"/>
    <col min="7" max="7" width="20.5" style="1" customWidth="1"/>
    <col min="8" max="8" width="13.1640625" style="1" bestFit="1" customWidth="1"/>
    <col min="9" max="9" width="21.83203125" style="1" bestFit="1" customWidth="1"/>
    <col min="10" max="10" width="21.1640625" style="1" bestFit="1" customWidth="1"/>
    <col min="11" max="11" width="22.33203125" style="1" bestFit="1" customWidth="1"/>
    <col min="12" max="12" width="18.33203125" style="1" bestFit="1" customWidth="1"/>
    <col min="13" max="13" width="21" style="1" customWidth="1"/>
    <col min="14" max="14" width="34.83203125" style="1" bestFit="1" customWidth="1"/>
    <col min="15" max="15" width="12.83203125" style="1" customWidth="1"/>
    <col min="16" max="16" width="11.1640625" style="1" bestFit="1" customWidth="1"/>
    <col min="17" max="17" width="10" style="1" customWidth="1"/>
    <col min="18" max="18" width="12.1640625" style="1" bestFit="1" customWidth="1"/>
    <col min="19" max="19" width="35" style="1" bestFit="1" customWidth="1"/>
    <col min="20" max="20" width="21.5" style="1" bestFit="1" customWidth="1"/>
    <col min="21" max="21" width="7" style="1" customWidth="1"/>
    <col min="22" max="22" width="18.33203125" style="1" customWidth="1"/>
    <col min="23" max="23" width="34.83203125" style="1" bestFit="1" customWidth="1"/>
    <col min="24" max="24" width="14.83203125" style="1" bestFit="1" customWidth="1"/>
    <col min="25" max="25" width="11.1640625" style="1" bestFit="1" customWidth="1"/>
    <col min="26" max="26" width="9" style="1" customWidth="1"/>
    <col min="27" max="27" width="12.1640625" style="1" bestFit="1" customWidth="1"/>
    <col min="28" max="28" width="35" style="1" bestFit="1" customWidth="1"/>
    <col min="29" max="29" width="21.5" style="1" bestFit="1" customWidth="1"/>
    <col min="30" max="16384" width="8.83203125" style="1"/>
  </cols>
  <sheetData>
    <row r="1" spans="2:15" x14ac:dyDescent="0.2">
      <c r="B1" s="12"/>
    </row>
    <row r="2" spans="2:15" ht="15" customHeight="1" thickBot="1" x14ac:dyDescent="0.25">
      <c r="B2" s="12"/>
    </row>
    <row r="3" spans="2:15" ht="19" x14ac:dyDescent="0.25">
      <c r="B3" s="757" t="s">
        <v>25</v>
      </c>
      <c r="D3" s="848" t="s">
        <v>18</v>
      </c>
      <c r="E3" s="878"/>
      <c r="F3" s="878"/>
      <c r="G3" s="849"/>
      <c r="H3" s="4"/>
      <c r="I3" s="848" t="s">
        <v>16</v>
      </c>
      <c r="J3" s="878"/>
      <c r="K3" s="878"/>
      <c r="L3" s="849"/>
      <c r="O3" s="4"/>
    </row>
    <row r="4" spans="2:15" ht="18" thickBot="1" x14ac:dyDescent="0.25">
      <c r="B4" s="758"/>
      <c r="D4" s="299" t="s">
        <v>531</v>
      </c>
      <c r="E4" s="300" t="s">
        <v>14</v>
      </c>
      <c r="F4" s="300" t="s">
        <v>20</v>
      </c>
      <c r="G4" s="301" t="s">
        <v>15</v>
      </c>
      <c r="H4" s="5"/>
      <c r="I4" s="450"/>
      <c r="J4" s="300" t="s">
        <v>130</v>
      </c>
      <c r="K4" s="345" t="s">
        <v>129</v>
      </c>
      <c r="L4" s="301" t="s">
        <v>131</v>
      </c>
    </row>
    <row r="5" spans="2:15" x14ac:dyDescent="0.2">
      <c r="B5" s="758"/>
      <c r="D5" s="332" t="s">
        <v>34</v>
      </c>
      <c r="E5" s="340" t="str">
        <f>'1. MADWEC Installation'!E5</f>
        <v>41.2354° N, 71.0237° W</v>
      </c>
      <c r="F5" s="340" t="str">
        <f>'1. MADWEC Installation'!F5</f>
        <v>40.9334° N, 70.7985° W</v>
      </c>
      <c r="G5" s="341" t="str">
        <f>'1. MADWEC Installation'!G5</f>
        <v>59.0605° N, 152.0117° W</v>
      </c>
      <c r="H5" s="60"/>
      <c r="I5" s="329" t="s">
        <v>93</v>
      </c>
      <c r="J5" s="657">
        <f>'1. MADWEC Installation'!J5</f>
        <v>18</v>
      </c>
      <c r="K5" s="657">
        <f>'1. MADWEC Installation'!K5</f>
        <v>18</v>
      </c>
      <c r="L5" s="581">
        <f>'1. MADWEC Installation'!L5</f>
        <v>10</v>
      </c>
      <c r="O5" s="52"/>
    </row>
    <row r="6" spans="2:15" x14ac:dyDescent="0.2">
      <c r="B6" s="758"/>
      <c r="D6" s="320" t="s">
        <v>532</v>
      </c>
      <c r="E6" s="325" t="str">
        <f>'1. MADWEC Installation'!E6</f>
        <v>Massachusetts State Waters</v>
      </c>
      <c r="F6" s="325" t="str">
        <f>'1. MADWEC Installation'!F6</f>
        <v>Massachusetts Federal Waters</v>
      </c>
      <c r="G6" s="342" t="str">
        <f>'1. MADWEC Installation'!G6</f>
        <v>Alaska State Waters</v>
      </c>
      <c r="H6" s="60"/>
      <c r="I6" s="323" t="s">
        <v>27</v>
      </c>
      <c r="J6" s="640">
        <f>'1. MADWEC Installation'!J6</f>
        <v>400</v>
      </c>
      <c r="K6" s="640">
        <f>'1. MADWEC Installation'!K6</f>
        <v>400</v>
      </c>
      <c r="L6" s="582">
        <f>'1. MADWEC Installation'!L6</f>
        <v>400</v>
      </c>
      <c r="O6" s="62"/>
    </row>
    <row r="7" spans="2:15" x14ac:dyDescent="0.2">
      <c r="B7" s="758"/>
      <c r="D7" s="320" t="s">
        <v>536</v>
      </c>
      <c r="E7" s="325" t="str">
        <f>'1. MADWEC Installation'!E7</f>
        <v>41.5242° N, 70.6712° W</v>
      </c>
      <c r="F7" s="325" t="str">
        <f>'1. MADWEC Installation'!F7</f>
        <v>41.5242° N, 70.6712° W</v>
      </c>
      <c r="G7" s="342" t="str">
        <f>'1. MADWEC Installation'!G7</f>
        <v>59.6371° N, 151.4522° W</v>
      </c>
      <c r="H7" s="60"/>
      <c r="I7" s="321" t="s">
        <v>74</v>
      </c>
      <c r="J7" s="640">
        <f>'1. MADWEC Installation'!J7</f>
        <v>15000</v>
      </c>
      <c r="K7" s="640">
        <f>'1. MADWEC Installation'!K7</f>
        <v>15000</v>
      </c>
      <c r="L7" s="582">
        <f>'1. MADWEC Installation'!L7</f>
        <v>11375</v>
      </c>
      <c r="O7" s="52"/>
    </row>
    <row r="8" spans="2:15" ht="16" customHeight="1" x14ac:dyDescent="0.2">
      <c r="B8" s="758"/>
      <c r="D8" s="321" t="s">
        <v>540</v>
      </c>
      <c r="E8" s="325" t="str">
        <f>'1. MADWEC Installation'!E8</f>
        <v>WHOI</v>
      </c>
      <c r="F8" s="325" t="str">
        <f>'1. MADWEC Installation'!F8</f>
        <v>WHOI</v>
      </c>
      <c r="G8" s="342" t="str">
        <f>'1. MADWEC Installation'!G8</f>
        <v>City of Homer Port</v>
      </c>
      <c r="H8" s="60"/>
      <c r="I8" s="320" t="s">
        <v>30</v>
      </c>
      <c r="J8" s="640">
        <f>'1. MADWEC Installation'!J8</f>
        <v>1250</v>
      </c>
      <c r="K8" s="640">
        <f>'1. MADWEC Installation'!K8</f>
        <v>1250</v>
      </c>
      <c r="L8" s="582">
        <f>'1. MADWEC Installation'!L8</f>
        <v>947.91666666666663</v>
      </c>
    </row>
    <row r="9" spans="2:15" x14ac:dyDescent="0.2">
      <c r="B9" s="758"/>
      <c r="D9" s="320" t="s">
        <v>542</v>
      </c>
      <c r="E9" s="325">
        <f>'1. MADWEC Installation'!E9</f>
        <v>14</v>
      </c>
      <c r="F9" s="325">
        <f>'1. MADWEC Installation'!F9</f>
        <v>14</v>
      </c>
      <c r="G9" s="342">
        <f>'1. MADWEC Installation'!G9</f>
        <v>0</v>
      </c>
      <c r="H9" s="60"/>
      <c r="I9" s="323" t="s">
        <v>33</v>
      </c>
      <c r="J9" s="640" t="str">
        <f>'1. MADWEC Installation'!J9</f>
        <v>Woods Hole, MA</v>
      </c>
      <c r="K9" s="640" t="str">
        <f>'1. MADWEC Installation'!K9</f>
        <v>Wood's Hole, MA</v>
      </c>
      <c r="L9" s="582" t="str">
        <f>'1. MADWEC Installation'!L9</f>
        <v>Homer, AK</v>
      </c>
      <c r="O9" s="62"/>
    </row>
    <row r="10" spans="2:15" ht="15" customHeight="1" x14ac:dyDescent="0.2">
      <c r="B10" s="758"/>
      <c r="D10" s="322" t="s">
        <v>537</v>
      </c>
      <c r="E10" s="325" t="str">
        <f>'1. MADWEC Installation'!E10</f>
        <v>WHOI</v>
      </c>
      <c r="F10" s="325" t="str">
        <f>'1. MADWEC Installation'!F10</f>
        <v>WHOI</v>
      </c>
      <c r="G10" s="342" t="str">
        <f>'1. MADWEC Installation'!G10</f>
        <v>USFWS</v>
      </c>
      <c r="H10" s="60"/>
      <c r="I10" s="321" t="s">
        <v>0</v>
      </c>
      <c r="J10" s="640">
        <f>'1. MADWEC Installation'!J10</f>
        <v>60</v>
      </c>
      <c r="K10" s="640">
        <f>'1. MADWEC Installation'!K10</f>
        <v>60</v>
      </c>
      <c r="L10" s="582">
        <f>'1. MADWEC Installation'!L10</f>
        <v>120</v>
      </c>
      <c r="O10" s="52"/>
    </row>
    <row r="11" spans="2:15" x14ac:dyDescent="0.2">
      <c r="B11" s="758"/>
      <c r="D11" s="321" t="s">
        <v>538</v>
      </c>
      <c r="E11" s="325" t="str">
        <f>'1. MADWEC Installation'!E11</f>
        <v>41.6362° N, 70.9342° W</v>
      </c>
      <c r="F11" s="325" t="str">
        <f>'1. MADWEC Installation'!F11</f>
        <v>41.6362° N, 70.9342° W</v>
      </c>
      <c r="G11" s="342" t="str">
        <f>'1. MADWEC Installation'!G11</f>
        <v>59.6371° N, 151.4522° W</v>
      </c>
      <c r="H11" s="60"/>
      <c r="I11" s="321" t="s">
        <v>1</v>
      </c>
      <c r="J11" s="640">
        <f>'1. MADWEC Installation'!J11</f>
        <v>17</v>
      </c>
      <c r="K11" s="640">
        <f>'1. MADWEC Installation'!K11</f>
        <v>17</v>
      </c>
      <c r="L11" s="582">
        <f>'1. MADWEC Installation'!L11</f>
        <v>33</v>
      </c>
      <c r="O11" s="52"/>
    </row>
    <row r="12" spans="2:15" ht="16" customHeight="1" x14ac:dyDescent="0.2">
      <c r="B12" s="758"/>
      <c r="D12" s="320" t="s">
        <v>539</v>
      </c>
      <c r="E12" s="325" t="str">
        <f>'1. MADWEC Installation'!E12</f>
        <v>New Bedford Harbor</v>
      </c>
      <c r="F12" s="325" t="str">
        <f>'1. MADWEC Installation'!F12</f>
        <v>New Bedford Harbor</v>
      </c>
      <c r="G12" s="342" t="str">
        <f>'1. MADWEC Installation'!G12</f>
        <v>City of Homer Port</v>
      </c>
      <c r="H12" s="60"/>
      <c r="I12" s="321" t="s">
        <v>2</v>
      </c>
      <c r="J12" s="640">
        <f>'1. MADWEC Installation'!J12</f>
        <v>5</v>
      </c>
      <c r="K12" s="640">
        <f>'1. MADWEC Installation'!K12</f>
        <v>5</v>
      </c>
      <c r="L12" s="582">
        <f>'1. MADWEC Installation'!L12</f>
        <v>11.5</v>
      </c>
      <c r="O12" s="52"/>
    </row>
    <row r="13" spans="2:15" ht="16" thickBot="1" x14ac:dyDescent="0.25">
      <c r="B13" s="758"/>
      <c r="D13" s="331" t="s">
        <v>541</v>
      </c>
      <c r="E13" s="375">
        <f>'1. MADWEC Installation'!E13</f>
        <v>17</v>
      </c>
      <c r="F13" s="375">
        <f>'1. MADWEC Installation'!F13</f>
        <v>48</v>
      </c>
      <c r="G13" s="376">
        <f>'1. MADWEC Installation'!G13</f>
        <v>46</v>
      </c>
      <c r="H13" s="60"/>
      <c r="I13" s="321" t="s">
        <v>86</v>
      </c>
      <c r="J13" s="640">
        <f>'1. MADWEC Installation'!J13</f>
        <v>4600</v>
      </c>
      <c r="K13" s="640">
        <f>'1. MADWEC Installation'!K13</f>
        <v>4600</v>
      </c>
      <c r="L13" s="582">
        <f>'1. MADWEC Installation'!L13</f>
        <v>2000</v>
      </c>
      <c r="O13" s="52"/>
    </row>
    <row r="14" spans="2:15" ht="33" customHeight="1" thickBot="1" x14ac:dyDescent="0.25">
      <c r="B14" s="758"/>
      <c r="D14" s="110"/>
      <c r="E14" s="52"/>
      <c r="F14" s="60"/>
      <c r="G14" s="59"/>
      <c r="H14" s="60"/>
      <c r="I14" s="321" t="s">
        <v>3</v>
      </c>
      <c r="J14" s="640" t="str">
        <f>'1. MADWEC Installation'!J14</f>
        <v>Woods Hole Oceanographic Institution</v>
      </c>
      <c r="K14" s="640" t="str">
        <f>'1. MADWEC Installation'!K14</f>
        <v>Woods Hole Oceanographic Institution</v>
      </c>
      <c r="L14" s="582" t="str">
        <f>'1. MADWEC Installation'!L14</f>
        <v>USFWS</v>
      </c>
      <c r="O14" s="52"/>
    </row>
    <row r="15" spans="2:15" ht="20" thickBot="1" x14ac:dyDescent="0.3">
      <c r="B15" s="758"/>
      <c r="D15" s="848" t="s">
        <v>41</v>
      </c>
      <c r="E15" s="878"/>
      <c r="F15" s="849"/>
      <c r="G15" s="61"/>
      <c r="H15" s="60"/>
      <c r="I15" s="339" t="s">
        <v>83</v>
      </c>
      <c r="J15" s="643" t="str">
        <f>'1. MADWEC Installation'!J15</f>
        <v>WHOI</v>
      </c>
      <c r="K15" s="643" t="str">
        <f>'1. MADWEC Installation'!K15</f>
        <v>WHOI</v>
      </c>
      <c r="L15" s="583" t="str">
        <f>'1. MADWEC Installation'!L15</f>
        <v>USFWS</v>
      </c>
      <c r="O15" s="52"/>
    </row>
    <row r="16" spans="2:15" ht="15" customHeight="1" thickBot="1" x14ac:dyDescent="0.25">
      <c r="B16" s="758"/>
      <c r="D16" s="350" t="s">
        <v>39</v>
      </c>
      <c r="E16" s="351" t="s">
        <v>17</v>
      </c>
      <c r="F16" s="352" t="s">
        <v>40</v>
      </c>
      <c r="G16" s="59"/>
      <c r="H16" s="60"/>
      <c r="I16" s="60"/>
      <c r="O16" s="788"/>
    </row>
    <row r="17" spans="2:31" ht="19" x14ac:dyDescent="0.25">
      <c r="B17" s="758"/>
      <c r="D17" s="329" t="s">
        <v>145</v>
      </c>
      <c r="E17" s="626">
        <v>4</v>
      </c>
      <c r="F17" s="337" t="s">
        <v>76</v>
      </c>
      <c r="G17" s="61"/>
      <c r="H17" s="60"/>
      <c r="I17" s="848" t="s">
        <v>24</v>
      </c>
      <c r="J17" s="878"/>
      <c r="K17" s="849"/>
      <c r="O17" s="788"/>
    </row>
    <row r="18" spans="2:31" ht="15" customHeight="1" thickBot="1" x14ac:dyDescent="0.25">
      <c r="B18" s="758"/>
      <c r="D18" s="321" t="s">
        <v>146</v>
      </c>
      <c r="E18" s="652">
        <v>1</v>
      </c>
      <c r="F18" s="338" t="s">
        <v>76</v>
      </c>
      <c r="G18" s="59"/>
      <c r="H18" s="60"/>
      <c r="I18" s="347" t="s">
        <v>22</v>
      </c>
      <c r="J18" s="348" t="s">
        <v>23</v>
      </c>
      <c r="K18" s="349" t="s">
        <v>81</v>
      </c>
      <c r="O18" s="788"/>
    </row>
    <row r="19" spans="2:31" x14ac:dyDescent="0.2">
      <c r="B19" s="758"/>
      <c r="D19" s="321" t="s">
        <v>147</v>
      </c>
      <c r="E19" s="652">
        <v>16</v>
      </c>
      <c r="F19" s="338" t="s">
        <v>76</v>
      </c>
      <c r="G19" s="61"/>
      <c r="H19" s="60"/>
      <c r="I19" s="329" t="s">
        <v>132</v>
      </c>
      <c r="J19" s="614">
        <v>1</v>
      </c>
      <c r="K19" s="557">
        <f>'1. MADWEC Installation'!F33</f>
        <v>45.32</v>
      </c>
      <c r="O19" s="788"/>
    </row>
    <row r="20" spans="2:31" ht="15" customHeight="1" x14ac:dyDescent="0.2">
      <c r="B20" s="758"/>
      <c r="D20" s="321" t="s">
        <v>148</v>
      </c>
      <c r="E20" s="652">
        <v>1</v>
      </c>
      <c r="F20" s="338" t="s">
        <v>76</v>
      </c>
      <c r="I20" s="321" t="s">
        <v>133</v>
      </c>
      <c r="J20" s="612">
        <v>2</v>
      </c>
      <c r="K20" s="650">
        <f>'1. MADWEC Installation'!F34</f>
        <v>45.32</v>
      </c>
    </row>
    <row r="21" spans="2:31" ht="16" customHeight="1" x14ac:dyDescent="0.2">
      <c r="B21" s="758"/>
      <c r="D21" s="321" t="s">
        <v>13</v>
      </c>
      <c r="E21" s="652">
        <v>0.1</v>
      </c>
      <c r="F21" s="338" t="s">
        <v>53</v>
      </c>
      <c r="I21" s="320" t="s">
        <v>134</v>
      </c>
      <c r="J21" s="632">
        <v>1</v>
      </c>
      <c r="K21" s="650">
        <f>'1. MADWEC Installation'!F35</f>
        <v>40.950000000000003</v>
      </c>
      <c r="X21" s="4"/>
    </row>
    <row r="22" spans="2:31" ht="16" customHeight="1" thickBot="1" x14ac:dyDescent="0.25">
      <c r="B22" s="758"/>
      <c r="D22" s="339" t="s">
        <v>149</v>
      </c>
      <c r="E22" s="653">
        <v>1</v>
      </c>
      <c r="F22" s="336" t="s">
        <v>76</v>
      </c>
      <c r="I22" s="321" t="s">
        <v>135</v>
      </c>
      <c r="J22" s="632">
        <v>1</v>
      </c>
      <c r="K22" s="650">
        <f>'1. MADWEC Installation'!F36</f>
        <v>40.950000000000003</v>
      </c>
      <c r="U22" s="4"/>
      <c r="V22" s="4"/>
      <c r="AE22" s="4"/>
    </row>
    <row r="23" spans="2:31" ht="15" customHeight="1" thickBot="1" x14ac:dyDescent="0.25">
      <c r="B23" s="758"/>
      <c r="I23" s="321" t="s">
        <v>136</v>
      </c>
      <c r="J23" s="612">
        <v>1</v>
      </c>
      <c r="K23" s="650">
        <f>'1. MADWEC Installation'!F37</f>
        <v>46.22</v>
      </c>
    </row>
    <row r="24" spans="2:31" ht="20" thickBot="1" x14ac:dyDescent="0.3">
      <c r="B24" s="758"/>
      <c r="D24" s="848" t="s">
        <v>66</v>
      </c>
      <c r="E24" s="849"/>
      <c r="I24" s="321" t="s">
        <v>137</v>
      </c>
      <c r="J24" s="612">
        <v>2</v>
      </c>
      <c r="K24" s="650">
        <f>'1. MADWEC Installation'!F38</f>
        <v>46.22</v>
      </c>
    </row>
    <row r="25" spans="2:31" ht="15" customHeight="1" x14ac:dyDescent="0.2">
      <c r="B25" s="758"/>
      <c r="D25" s="329" t="s">
        <v>178</v>
      </c>
      <c r="E25" s="615">
        <v>8</v>
      </c>
      <c r="I25" s="320" t="s">
        <v>138</v>
      </c>
      <c r="J25" s="632">
        <v>1</v>
      </c>
      <c r="K25" s="650">
        <f>'1. MADWEC Installation'!F39</f>
        <v>39.369999999999997</v>
      </c>
    </row>
    <row r="26" spans="2:31" ht="15" customHeight="1" thickBot="1" x14ac:dyDescent="0.25">
      <c r="B26" s="758"/>
      <c r="D26" s="321" t="s">
        <v>179</v>
      </c>
      <c r="E26" s="570">
        <v>1</v>
      </c>
      <c r="I26" s="331" t="s">
        <v>139</v>
      </c>
      <c r="J26" s="634">
        <v>1</v>
      </c>
      <c r="K26" s="651">
        <f>'1. MADWEC Installation'!F40</f>
        <v>39.369999999999997</v>
      </c>
    </row>
    <row r="27" spans="2:31" ht="15" customHeight="1" x14ac:dyDescent="0.2">
      <c r="B27" s="758"/>
      <c r="D27" s="320" t="s">
        <v>152</v>
      </c>
      <c r="E27" s="655">
        <v>4</v>
      </c>
    </row>
    <row r="28" spans="2:31" ht="15" customHeight="1" x14ac:dyDescent="0.2">
      <c r="B28" s="758"/>
      <c r="D28" s="320" t="s">
        <v>153</v>
      </c>
      <c r="E28" s="655">
        <v>2</v>
      </c>
    </row>
    <row r="29" spans="2:31" ht="15" customHeight="1" thickBot="1" x14ac:dyDescent="0.25">
      <c r="B29" s="759"/>
      <c r="D29" s="320" t="s">
        <v>154</v>
      </c>
      <c r="E29" s="655">
        <v>4</v>
      </c>
      <c r="F29" s="52"/>
      <c r="W29" s="4"/>
      <c r="X29" s="4"/>
      <c r="Y29" s="4"/>
    </row>
    <row r="30" spans="2:31" ht="15" customHeight="1" thickBot="1" x14ac:dyDescent="0.25">
      <c r="B30" s="12"/>
      <c r="D30" s="339" t="s">
        <v>155</v>
      </c>
      <c r="E30" s="656">
        <v>2</v>
      </c>
      <c r="F30" s="52"/>
      <c r="W30" s="4"/>
      <c r="X30" s="4"/>
      <c r="Y30" s="4"/>
    </row>
    <row r="31" spans="2:31" ht="15" customHeight="1" x14ac:dyDescent="0.2">
      <c r="B31" s="14"/>
      <c r="E31" s="48" t="s">
        <v>156</v>
      </c>
      <c r="F31" s="52"/>
      <c r="L31" s="51"/>
      <c r="W31" s="4"/>
      <c r="X31" s="4"/>
      <c r="Y31" s="4"/>
    </row>
    <row r="32" spans="2:31" ht="15" customHeight="1" x14ac:dyDescent="0.2">
      <c r="B32" s="14"/>
      <c r="E32" s="48"/>
      <c r="F32" s="52"/>
      <c r="L32" s="51"/>
      <c r="W32" s="4"/>
      <c r="X32" s="4"/>
      <c r="Y32" s="4"/>
    </row>
    <row r="33" spans="2:29" ht="15" customHeight="1" thickBot="1" x14ac:dyDescent="0.25">
      <c r="B33" s="14"/>
      <c r="D33" s="5"/>
      <c r="W33" s="4"/>
      <c r="X33" s="4"/>
      <c r="Y33" s="4"/>
    </row>
    <row r="34" spans="2:29" ht="19" x14ac:dyDescent="0.25">
      <c r="B34" s="757" t="s">
        <v>51</v>
      </c>
      <c r="D34" s="863" t="s">
        <v>47</v>
      </c>
      <c r="E34" s="864"/>
      <c r="F34" s="864"/>
      <c r="G34" s="864"/>
      <c r="H34" s="864"/>
      <c r="I34" s="864"/>
      <c r="J34" s="864"/>
      <c r="K34" s="865"/>
      <c r="M34" s="863" t="s">
        <v>65</v>
      </c>
      <c r="N34" s="864"/>
      <c r="O34" s="864"/>
      <c r="P34" s="864"/>
      <c r="Q34" s="864"/>
      <c r="R34" s="864"/>
      <c r="S34" s="864"/>
      <c r="T34" s="865"/>
      <c r="U34" s="4"/>
      <c r="V34" s="863" t="s">
        <v>52</v>
      </c>
      <c r="W34" s="864"/>
      <c r="X34" s="864"/>
      <c r="Y34" s="864"/>
      <c r="Z34" s="864"/>
      <c r="AA34" s="864"/>
      <c r="AB34" s="864"/>
      <c r="AC34" s="865"/>
    </row>
    <row r="35" spans="2:29" ht="15" customHeight="1" x14ac:dyDescent="0.2">
      <c r="B35" s="758"/>
      <c r="D35" s="857" t="s">
        <v>143</v>
      </c>
      <c r="E35" s="24" t="s">
        <v>4</v>
      </c>
      <c r="F35" s="25" t="s">
        <v>35</v>
      </c>
      <c r="G35" s="26" t="s">
        <v>5</v>
      </c>
      <c r="H35" s="25" t="s">
        <v>77</v>
      </c>
      <c r="I35" s="26" t="s">
        <v>31</v>
      </c>
      <c r="J35" s="26" t="s">
        <v>29</v>
      </c>
      <c r="K35" s="34" t="s">
        <v>32</v>
      </c>
      <c r="M35" s="857" t="s">
        <v>143</v>
      </c>
      <c r="N35" s="24" t="s">
        <v>4</v>
      </c>
      <c r="O35" s="25" t="s">
        <v>35</v>
      </c>
      <c r="P35" s="26" t="s">
        <v>5</v>
      </c>
      <c r="Q35" s="25" t="s">
        <v>6</v>
      </c>
      <c r="R35" s="26" t="s">
        <v>31</v>
      </c>
      <c r="S35" s="26" t="s">
        <v>29</v>
      </c>
      <c r="T35" s="34" t="s">
        <v>32</v>
      </c>
      <c r="U35" s="4"/>
      <c r="V35" s="857" t="s">
        <v>143</v>
      </c>
      <c r="W35" s="24" t="s">
        <v>4</v>
      </c>
      <c r="X35" s="25" t="s">
        <v>35</v>
      </c>
      <c r="Y35" s="26" t="s">
        <v>5</v>
      </c>
      <c r="Z35" s="25" t="s">
        <v>77</v>
      </c>
      <c r="AA35" s="26" t="s">
        <v>31</v>
      </c>
      <c r="AB35" s="26" t="s">
        <v>29</v>
      </c>
      <c r="AC35" s="34" t="s">
        <v>32</v>
      </c>
    </row>
    <row r="36" spans="2:29" ht="15" customHeight="1" x14ac:dyDescent="0.2">
      <c r="B36" s="758"/>
      <c r="D36" s="858"/>
      <c r="E36" s="39" t="s">
        <v>43</v>
      </c>
      <c r="F36" s="9" t="s">
        <v>75</v>
      </c>
      <c r="G36" s="40" t="s">
        <v>46</v>
      </c>
      <c r="H36" s="3">
        <f>(E9/$J$5)</f>
        <v>0.77777777777777779</v>
      </c>
      <c r="I36" s="64">
        <f>($J$6+$J$8)*H36</f>
        <v>1283.3333333333333</v>
      </c>
      <c r="J36" s="16">
        <f>((K21*J21)+(K22*J22))*H36</f>
        <v>63.7</v>
      </c>
      <c r="K36" s="8">
        <f>I36+J36</f>
        <v>1347.0333333333333</v>
      </c>
      <c r="M36" s="858"/>
      <c r="N36" s="39" t="s">
        <v>54</v>
      </c>
      <c r="O36" s="9" t="s">
        <v>115</v>
      </c>
      <c r="P36" s="40" t="s">
        <v>46</v>
      </c>
      <c r="Q36" s="3">
        <f>F9/K5</f>
        <v>0.77777777777777779</v>
      </c>
      <c r="R36" s="66">
        <f>($K$6+$K$8)*Q36</f>
        <v>1283.3333333333333</v>
      </c>
      <c r="S36" s="16">
        <f>((K21*J21)+(K22*J22))*Q36</f>
        <v>63.7</v>
      </c>
      <c r="T36" s="8">
        <f>R36+S36</f>
        <v>1347.0333333333333</v>
      </c>
      <c r="U36" s="4"/>
      <c r="V36" s="858"/>
      <c r="W36" s="39" t="s">
        <v>60</v>
      </c>
      <c r="X36" s="9" t="s">
        <v>116</v>
      </c>
      <c r="Y36" s="40" t="s">
        <v>46</v>
      </c>
      <c r="Z36" s="3">
        <f>G9/L5</f>
        <v>0</v>
      </c>
      <c r="AA36" s="64">
        <f>($L$6+$L$8)*Z36</f>
        <v>0</v>
      </c>
      <c r="AB36" s="16">
        <f>($K$19+$K$20)*Z36</f>
        <v>0</v>
      </c>
      <c r="AC36" s="8">
        <f>AA36+AB36</f>
        <v>0</v>
      </c>
    </row>
    <row r="37" spans="2:29" ht="15" customHeight="1" x14ac:dyDescent="0.2">
      <c r="B37" s="758"/>
      <c r="D37" s="858"/>
      <c r="E37" s="39" t="s">
        <v>42</v>
      </c>
      <c r="F37" s="9" t="s">
        <v>75</v>
      </c>
      <c r="G37" s="41" t="s">
        <v>8</v>
      </c>
      <c r="H37" s="45">
        <f>(E13/$J$5)</f>
        <v>0.94444444444444442</v>
      </c>
      <c r="I37" s="64">
        <f>($J$6+$J$8)*H37</f>
        <v>1558.3333333333333</v>
      </c>
      <c r="J37" s="16">
        <f>((K21*J21)+(K22*J22)+(K19*J19)+(K20*J20))*H37</f>
        <v>205.75666666666666</v>
      </c>
      <c r="K37" s="8">
        <f>I37+J37</f>
        <v>1764.09</v>
      </c>
      <c r="M37" s="858"/>
      <c r="N37" s="39" t="s">
        <v>157</v>
      </c>
      <c r="O37" s="9" t="s">
        <v>115</v>
      </c>
      <c r="P37" s="41" t="s">
        <v>8</v>
      </c>
      <c r="Q37" s="45">
        <f>F13/K5</f>
        <v>2.6666666666666665</v>
      </c>
      <c r="R37" s="66">
        <f>($K$6+$K$8)*Q37</f>
        <v>4400</v>
      </c>
      <c r="S37" s="16">
        <f>((K21*J21)+(K22*J22)+(K19*J19)+(K20*J20))*Q37</f>
        <v>580.96</v>
      </c>
      <c r="T37" s="8">
        <f t="shared" ref="T37:T40" si="0">R37+S37</f>
        <v>4980.96</v>
      </c>
      <c r="U37" s="787"/>
      <c r="V37" s="858"/>
      <c r="W37" s="39" t="s">
        <v>58</v>
      </c>
      <c r="X37" s="9" t="s">
        <v>116</v>
      </c>
      <c r="Y37" s="41" t="s">
        <v>8</v>
      </c>
      <c r="Z37" s="45">
        <f>G13/L5</f>
        <v>4.5999999999999996</v>
      </c>
      <c r="AA37" s="64">
        <f>($L$6+$L$8)*Z37</f>
        <v>6200.4166666666652</v>
      </c>
      <c r="AB37" s="16">
        <f>($K$19+$K$20)*Z37</f>
        <v>416.94399999999996</v>
      </c>
      <c r="AC37" s="8">
        <f t="shared" ref="AC37:AC40" si="1">AA37+AB37</f>
        <v>6617.3606666666656</v>
      </c>
    </row>
    <row r="38" spans="2:29" ht="15" customHeight="1" x14ac:dyDescent="0.2">
      <c r="B38" s="758"/>
      <c r="D38" s="858"/>
      <c r="E38" s="39" t="s">
        <v>21</v>
      </c>
      <c r="F38" s="9" t="s">
        <v>75</v>
      </c>
      <c r="G38" s="28" t="s">
        <v>10</v>
      </c>
      <c r="H38" s="45">
        <f>E17</f>
        <v>4</v>
      </c>
      <c r="I38" s="64">
        <f>($J$6+$J$8)*H38</f>
        <v>6600</v>
      </c>
      <c r="J38" s="16">
        <f>((K21*J21)+(K22*J22)+(K19*J19)+(K20*J20))*H38</f>
        <v>871.44</v>
      </c>
      <c r="K38" s="8">
        <f>I38+J38</f>
        <v>7471.4400000000005</v>
      </c>
      <c r="M38" s="858"/>
      <c r="N38" s="39" t="s">
        <v>21</v>
      </c>
      <c r="O38" s="9" t="s">
        <v>115</v>
      </c>
      <c r="P38" s="28" t="s">
        <v>10</v>
      </c>
      <c r="Q38" s="45">
        <f>E17</f>
        <v>4</v>
      </c>
      <c r="R38" s="66">
        <f>($K$6+$K$8)*Q38</f>
        <v>6600</v>
      </c>
      <c r="S38" s="16">
        <f>((K21*J21)+(K22*J22)+(K19*J19)+(K20*J20))*Q38</f>
        <v>871.44</v>
      </c>
      <c r="T38" s="8">
        <f t="shared" si="0"/>
        <v>7471.4400000000005</v>
      </c>
      <c r="U38" s="787"/>
      <c r="V38" s="858"/>
      <c r="W38" s="39" t="s">
        <v>21</v>
      </c>
      <c r="X38" s="9" t="s">
        <v>116</v>
      </c>
      <c r="Y38" s="28" t="s">
        <v>10</v>
      </c>
      <c r="Z38" s="45">
        <f>E17</f>
        <v>4</v>
      </c>
      <c r="AA38" s="64">
        <f>($L$6+$L$8)*Z38</f>
        <v>5391.6666666666661</v>
      </c>
      <c r="AB38" s="16">
        <f>($K$19+$K$20)*Z38</f>
        <v>362.56</v>
      </c>
      <c r="AC38" s="8">
        <f t="shared" si="1"/>
        <v>5754.2266666666665</v>
      </c>
    </row>
    <row r="39" spans="2:29" ht="15" customHeight="1" x14ac:dyDescent="0.2">
      <c r="B39" s="758"/>
      <c r="D39" s="858"/>
      <c r="E39" s="39" t="s">
        <v>45</v>
      </c>
      <c r="F39" s="9" t="s">
        <v>75</v>
      </c>
      <c r="G39" s="41" t="s">
        <v>8</v>
      </c>
      <c r="H39" s="45">
        <f>H37</f>
        <v>0.94444444444444442</v>
      </c>
      <c r="I39" s="64">
        <f>($J$6+$J$8)*H39</f>
        <v>1558.3333333333333</v>
      </c>
      <c r="J39" s="16">
        <f>((K21*J21)+(K22*J22)+(K19*J19)+(K20*J20))*H39</f>
        <v>205.75666666666666</v>
      </c>
      <c r="K39" s="8">
        <f>I39+J39</f>
        <v>1764.09</v>
      </c>
      <c r="M39" s="858"/>
      <c r="N39" s="39" t="s">
        <v>158</v>
      </c>
      <c r="O39" s="9" t="s">
        <v>115</v>
      </c>
      <c r="P39" s="41" t="s">
        <v>8</v>
      </c>
      <c r="Q39" s="45">
        <f>Q37</f>
        <v>2.6666666666666665</v>
      </c>
      <c r="R39" s="66">
        <f>($K$6+$K$8)*Q39</f>
        <v>4400</v>
      </c>
      <c r="S39" s="16">
        <f>((K21*J21)+(K22*J22)+(K19*J19)+(K20*J20))*Q39</f>
        <v>580.96</v>
      </c>
      <c r="T39" s="8">
        <f t="shared" si="0"/>
        <v>4980.96</v>
      </c>
      <c r="U39" s="787"/>
      <c r="V39" s="858"/>
      <c r="W39" s="39" t="s">
        <v>59</v>
      </c>
      <c r="X39" s="9" t="s">
        <v>116</v>
      </c>
      <c r="Y39" s="41" t="s">
        <v>8</v>
      </c>
      <c r="Z39" s="45">
        <f>Z37</f>
        <v>4.5999999999999996</v>
      </c>
      <c r="AA39" s="64">
        <f>($L$6+$L$8)*Z39</f>
        <v>6200.4166666666652</v>
      </c>
      <c r="AB39" s="16">
        <f>($K$19+$K$20)*Z39</f>
        <v>416.94399999999996</v>
      </c>
      <c r="AC39" s="8">
        <f t="shared" si="1"/>
        <v>6617.3606666666656</v>
      </c>
    </row>
    <row r="40" spans="2:29" ht="15" customHeight="1" x14ac:dyDescent="0.2">
      <c r="B40" s="758"/>
      <c r="D40" s="858"/>
      <c r="E40" s="39" t="s">
        <v>44</v>
      </c>
      <c r="F40" s="9" t="s">
        <v>75</v>
      </c>
      <c r="G40" s="27" t="s">
        <v>46</v>
      </c>
      <c r="H40" s="46">
        <f>H36</f>
        <v>0.77777777777777779</v>
      </c>
      <c r="I40" s="64">
        <f>($J$6+$J$8)*H40</f>
        <v>1283.3333333333333</v>
      </c>
      <c r="J40" s="16">
        <f>((K21*J21)+(K22*J22))*H40</f>
        <v>63.7</v>
      </c>
      <c r="K40" s="8">
        <f>I40+J40</f>
        <v>1347.0333333333333</v>
      </c>
      <c r="M40" s="858"/>
      <c r="N40" s="39" t="s">
        <v>57</v>
      </c>
      <c r="O40" s="9" t="s">
        <v>115</v>
      </c>
      <c r="P40" s="27" t="s">
        <v>46</v>
      </c>
      <c r="Q40" s="46">
        <f>Q36</f>
        <v>0.77777777777777779</v>
      </c>
      <c r="R40" s="66">
        <f>($K$6+$K$8)*Q40</f>
        <v>1283.3333333333333</v>
      </c>
      <c r="S40" s="16">
        <f>((K21*J21)+(K22*J22))*Q40</f>
        <v>63.7</v>
      </c>
      <c r="T40" s="8">
        <f t="shared" si="0"/>
        <v>1347.0333333333333</v>
      </c>
      <c r="U40" s="787"/>
      <c r="V40" s="858"/>
      <c r="W40" s="39" t="s">
        <v>61</v>
      </c>
      <c r="X40" s="9" t="s">
        <v>116</v>
      </c>
      <c r="Y40" s="27" t="s">
        <v>46</v>
      </c>
      <c r="Z40" s="46">
        <f>Z36</f>
        <v>0</v>
      </c>
      <c r="AA40" s="64">
        <f>($L$6+$L$8)*Z40</f>
        <v>0</v>
      </c>
      <c r="AB40" s="16">
        <f>($K$19+$K$20)*Z40</f>
        <v>0</v>
      </c>
      <c r="AC40" s="8">
        <f t="shared" si="1"/>
        <v>0</v>
      </c>
    </row>
    <row r="41" spans="2:29" x14ac:dyDescent="0.2">
      <c r="B41" s="758"/>
      <c r="D41" s="858"/>
      <c r="E41" s="39" t="s">
        <v>13</v>
      </c>
      <c r="F41" s="9" t="s">
        <v>75</v>
      </c>
      <c r="G41" s="27" t="s">
        <v>12</v>
      </c>
      <c r="H41" s="11" t="s">
        <v>9</v>
      </c>
      <c r="I41" s="9" t="s">
        <v>9</v>
      </c>
      <c r="J41" s="16" t="s">
        <v>9</v>
      </c>
      <c r="K41" s="7">
        <f>SUM(K36:K40)*$E$21</f>
        <v>1369.3686666666667</v>
      </c>
      <c r="M41" s="858"/>
      <c r="N41" s="39" t="s">
        <v>13</v>
      </c>
      <c r="O41" s="9" t="s">
        <v>115</v>
      </c>
      <c r="P41" s="27" t="s">
        <v>12</v>
      </c>
      <c r="Q41" s="11" t="s">
        <v>9</v>
      </c>
      <c r="R41" s="9" t="s">
        <v>9</v>
      </c>
      <c r="S41" s="16" t="s">
        <v>9</v>
      </c>
      <c r="T41" s="7">
        <f>SUM(T36:T40)*$E$21</f>
        <v>2012.7426666666668</v>
      </c>
      <c r="U41" s="787"/>
      <c r="V41" s="858"/>
      <c r="W41" s="39" t="s">
        <v>13</v>
      </c>
      <c r="X41" s="9" t="s">
        <v>116</v>
      </c>
      <c r="Y41" s="27" t="s">
        <v>12</v>
      </c>
      <c r="Z41" s="11" t="s">
        <v>9</v>
      </c>
      <c r="AA41" s="9" t="s">
        <v>9</v>
      </c>
      <c r="AB41" s="16" t="s">
        <v>9</v>
      </c>
      <c r="AC41" s="7">
        <f>SUM(AC36:AC40)*$E$21</f>
        <v>1898.8947999999998</v>
      </c>
    </row>
    <row r="42" spans="2:29" ht="16" customHeight="1" x14ac:dyDescent="0.2">
      <c r="B42" s="758"/>
      <c r="D42" s="1117"/>
      <c r="E42" s="28"/>
      <c r="F42" s="28"/>
      <c r="G42" s="17"/>
      <c r="H42" s="17"/>
      <c r="I42" s="1118" t="s">
        <v>159</v>
      </c>
      <c r="J42" s="1118"/>
      <c r="K42" s="33">
        <f>SUM(K36:K41)</f>
        <v>15063.055333333334</v>
      </c>
      <c r="L42" s="4"/>
      <c r="M42" s="1117"/>
      <c r="N42" s="28"/>
      <c r="O42" s="28"/>
      <c r="P42" s="30"/>
      <c r="Q42" s="30"/>
      <c r="R42" s="30"/>
      <c r="S42" s="15" t="s">
        <v>159</v>
      </c>
      <c r="T42" s="35">
        <f>SUM(T36:T41)</f>
        <v>22140.169333333331</v>
      </c>
      <c r="U42" s="787"/>
      <c r="V42" s="1117"/>
      <c r="W42" s="28"/>
      <c r="X42" s="28"/>
      <c r="Y42" s="30"/>
      <c r="Z42" s="30"/>
      <c r="AA42" s="30"/>
      <c r="AB42" s="15" t="s">
        <v>159</v>
      </c>
      <c r="AC42" s="35">
        <f>SUM(AC36:AC41)</f>
        <v>20887.842799999995</v>
      </c>
    </row>
    <row r="43" spans="2:29" ht="15" customHeight="1" x14ac:dyDescent="0.2">
      <c r="B43" s="758"/>
      <c r="D43" s="1119" t="s">
        <v>144</v>
      </c>
      <c r="E43" s="25" t="s">
        <v>4</v>
      </c>
      <c r="F43" s="25" t="s">
        <v>35</v>
      </c>
      <c r="G43" s="23" t="s">
        <v>5</v>
      </c>
      <c r="H43" s="22" t="s">
        <v>77</v>
      </c>
      <c r="I43" s="22" t="s">
        <v>31</v>
      </c>
      <c r="J43" s="25" t="s">
        <v>29</v>
      </c>
      <c r="K43" s="32" t="s">
        <v>32</v>
      </c>
      <c r="L43" s="5"/>
      <c r="M43" s="1119" t="s">
        <v>144</v>
      </c>
      <c r="N43" s="25" t="s">
        <v>4</v>
      </c>
      <c r="O43" s="25" t="s">
        <v>35</v>
      </c>
      <c r="P43" s="26" t="s">
        <v>5</v>
      </c>
      <c r="Q43" s="25" t="s">
        <v>6</v>
      </c>
      <c r="R43" s="25" t="s">
        <v>31</v>
      </c>
      <c r="S43" s="26" t="s">
        <v>29</v>
      </c>
      <c r="T43" s="34" t="s">
        <v>32</v>
      </c>
      <c r="U43" s="787"/>
      <c r="V43" s="1119" t="s">
        <v>144</v>
      </c>
      <c r="W43" s="24" t="s">
        <v>4</v>
      </c>
      <c r="X43" s="25" t="s">
        <v>35</v>
      </c>
      <c r="Y43" s="26" t="s">
        <v>5</v>
      </c>
      <c r="Z43" s="25" t="s">
        <v>77</v>
      </c>
      <c r="AA43" s="25" t="s">
        <v>31</v>
      </c>
      <c r="AB43" s="26" t="s">
        <v>29</v>
      </c>
      <c r="AC43" s="34" t="s">
        <v>32</v>
      </c>
    </row>
    <row r="44" spans="2:29" x14ac:dyDescent="0.2">
      <c r="B44" s="758"/>
      <c r="D44" s="861"/>
      <c r="E44" s="39" t="s">
        <v>43</v>
      </c>
      <c r="F44" s="9" t="s">
        <v>75</v>
      </c>
      <c r="G44" s="27" t="s">
        <v>46</v>
      </c>
      <c r="H44" s="3">
        <f>H36</f>
        <v>0.77777777777777779</v>
      </c>
      <c r="I44" s="64">
        <f>($J$6+$J$8)*H44</f>
        <v>1283.3333333333333</v>
      </c>
      <c r="J44" s="16">
        <f>((K21*J21)+(K22*J22))*H44</f>
        <v>63.7</v>
      </c>
      <c r="K44" s="7">
        <f>I44+J44</f>
        <v>1347.0333333333333</v>
      </c>
      <c r="L44" s="18"/>
      <c r="M44" s="861"/>
      <c r="N44" s="39" t="s">
        <v>54</v>
      </c>
      <c r="O44" s="9" t="s">
        <v>115</v>
      </c>
      <c r="P44" s="27" t="s">
        <v>46</v>
      </c>
      <c r="Q44" s="3">
        <f>(F9/$K$5)</f>
        <v>0.77777777777777779</v>
      </c>
      <c r="R44" s="64">
        <f>($K$6+$K$8)*Q44</f>
        <v>1283.3333333333333</v>
      </c>
      <c r="S44" s="16">
        <f>((K21*J21)+(K22*J22))*Q44</f>
        <v>63.7</v>
      </c>
      <c r="T44" s="7">
        <f>R44+S44</f>
        <v>1347.0333333333333</v>
      </c>
      <c r="U44" s="787"/>
      <c r="V44" s="861"/>
      <c r="W44" s="39" t="s">
        <v>60</v>
      </c>
      <c r="X44" s="9" t="s">
        <v>116</v>
      </c>
      <c r="Y44" s="27" t="s">
        <v>46</v>
      </c>
      <c r="Z44" s="3">
        <f>G9/L5</f>
        <v>0</v>
      </c>
      <c r="AA44" s="64">
        <f>($L$6+$L$8)*Z44</f>
        <v>0</v>
      </c>
      <c r="AB44" s="16">
        <f>((K25*J25)+(K26*J26))*Z44</f>
        <v>0</v>
      </c>
      <c r="AC44" s="7">
        <f>AA44+AB44</f>
        <v>0</v>
      </c>
    </row>
    <row r="45" spans="2:29" x14ac:dyDescent="0.2">
      <c r="B45" s="758"/>
      <c r="D45" s="861"/>
      <c r="E45" s="39" t="s">
        <v>42</v>
      </c>
      <c r="F45" s="9" t="s">
        <v>75</v>
      </c>
      <c r="G45" s="28" t="s">
        <v>8</v>
      </c>
      <c r="H45" s="45">
        <f>H37</f>
        <v>0.94444444444444442</v>
      </c>
      <c r="I45" s="64">
        <f>($J$6+$J$8)*H45</f>
        <v>1558.3333333333333</v>
      </c>
      <c r="J45" s="16">
        <f>((K21*J21)+(K22*J22)+(K19*J19)+(K20*J20))*H45</f>
        <v>205.75666666666666</v>
      </c>
      <c r="K45" s="7">
        <f t="shared" ref="K45:K51" si="2">I45+J45</f>
        <v>1764.09</v>
      </c>
      <c r="L45" s="18"/>
      <c r="M45" s="861"/>
      <c r="N45" s="39" t="s">
        <v>157</v>
      </c>
      <c r="O45" s="9" t="s">
        <v>115</v>
      </c>
      <c r="P45" s="28" t="s">
        <v>8</v>
      </c>
      <c r="Q45" s="45">
        <f>(F13/$K$5)</f>
        <v>2.6666666666666665</v>
      </c>
      <c r="R45" s="64">
        <f>($K$6+$K$8)*Q45</f>
        <v>4400</v>
      </c>
      <c r="S45" s="16">
        <f>((K21*J21)+(K22*J22)+(K19*J19)+(K20*J20))*Q45</f>
        <v>580.96</v>
      </c>
      <c r="T45" s="7">
        <f t="shared" ref="T45:T52" si="3">R45+S45</f>
        <v>4980.96</v>
      </c>
      <c r="U45" s="38"/>
      <c r="V45" s="861"/>
      <c r="W45" s="39" t="s">
        <v>58</v>
      </c>
      <c r="X45" s="9" t="s">
        <v>116</v>
      </c>
      <c r="Y45" s="28" t="s">
        <v>8</v>
      </c>
      <c r="Z45" s="45">
        <f>(G13/$K$5)</f>
        <v>2.5555555555555554</v>
      </c>
      <c r="AA45" s="64">
        <f>($L$6+$L$8)*Z45</f>
        <v>3444.6759259259252</v>
      </c>
      <c r="AB45" s="16">
        <f>((K25*J25)+(K26*J26)+(K23*J23)+(K24*J24))*Z45</f>
        <v>555.57777777777767</v>
      </c>
      <c r="AC45" s="7">
        <f t="shared" ref="AC45:AC52" si="4">AA45+AB45</f>
        <v>4000.2537037037027</v>
      </c>
    </row>
    <row r="46" spans="2:29" x14ac:dyDescent="0.2">
      <c r="B46" s="758"/>
      <c r="D46" s="861"/>
      <c r="E46" s="39" t="s">
        <v>67</v>
      </c>
      <c r="F46" s="9" t="s">
        <v>75</v>
      </c>
      <c r="G46" s="28" t="s">
        <v>10</v>
      </c>
      <c r="H46" s="45">
        <f>E18</f>
        <v>1</v>
      </c>
      <c r="I46" s="64">
        <f>($J$6+$J$8)*H46</f>
        <v>1650</v>
      </c>
      <c r="J46" s="16">
        <f>((K21*J21)+(K22*J22)+(K19*J19)+(K20*J20))*H46</f>
        <v>217.86</v>
      </c>
      <c r="K46" s="7">
        <f t="shared" si="2"/>
        <v>1867.8600000000001</v>
      </c>
      <c r="L46" s="18"/>
      <c r="M46" s="861"/>
      <c r="N46" s="39" t="s">
        <v>67</v>
      </c>
      <c r="O46" s="9" t="s">
        <v>115</v>
      </c>
      <c r="P46" s="28" t="s">
        <v>10</v>
      </c>
      <c r="Q46" s="45">
        <f>E18</f>
        <v>1</v>
      </c>
      <c r="R46" s="64">
        <f>($K$6+$K$8)*Q46</f>
        <v>1650</v>
      </c>
      <c r="S46" s="16">
        <f>((K21*J21)+(K22*J22)+(K19*J19)+(K20*J20))*Q46</f>
        <v>217.86</v>
      </c>
      <c r="T46" s="7">
        <f t="shared" si="3"/>
        <v>1867.8600000000001</v>
      </c>
      <c r="U46" s="38"/>
      <c r="V46" s="861"/>
      <c r="W46" s="39" t="s">
        <v>67</v>
      </c>
      <c r="X46" s="9" t="s">
        <v>116</v>
      </c>
      <c r="Y46" s="28" t="s">
        <v>10</v>
      </c>
      <c r="Z46" s="45">
        <f>E18</f>
        <v>1</v>
      </c>
      <c r="AA46" s="64">
        <f>($L$6+$L$8)*Z46</f>
        <v>1347.9166666666665</v>
      </c>
      <c r="AB46" s="16">
        <f>((K25*J25)+(K26*J26)+(K23*J23)+(K24*J24))*Z46</f>
        <v>217.39999999999998</v>
      </c>
      <c r="AC46" s="7">
        <f t="shared" si="4"/>
        <v>1565.3166666666666</v>
      </c>
    </row>
    <row r="47" spans="2:29" x14ac:dyDescent="0.2">
      <c r="B47" s="758"/>
      <c r="D47" s="861"/>
      <c r="E47" s="39" t="s">
        <v>45</v>
      </c>
      <c r="F47" s="9" t="s">
        <v>75</v>
      </c>
      <c r="G47" s="28" t="s">
        <v>8</v>
      </c>
      <c r="H47" s="45">
        <f>H45</f>
        <v>0.94444444444444442</v>
      </c>
      <c r="I47" s="64">
        <f>($J$6+$J$8)*H47</f>
        <v>1558.3333333333333</v>
      </c>
      <c r="J47" s="16">
        <f>((K21*J21)+(K22*J22)+(K19*J19)+(K20*J20))*H47</f>
        <v>205.75666666666666</v>
      </c>
      <c r="K47" s="7">
        <f>I47+J47</f>
        <v>1764.09</v>
      </c>
      <c r="L47" s="18"/>
      <c r="M47" s="861"/>
      <c r="N47" s="39" t="s">
        <v>158</v>
      </c>
      <c r="O47" s="9" t="s">
        <v>115</v>
      </c>
      <c r="P47" s="28" t="s">
        <v>8</v>
      </c>
      <c r="Q47" s="45">
        <f>Q45</f>
        <v>2.6666666666666665</v>
      </c>
      <c r="R47" s="64">
        <f>($K$6+$K$8)*Q47</f>
        <v>4400</v>
      </c>
      <c r="S47" s="16">
        <f>((K21*J21)+(K22*J22)+(K19*J19)+(K20*J20))*Q47</f>
        <v>580.96</v>
      </c>
      <c r="T47" s="7">
        <f t="shared" si="3"/>
        <v>4980.96</v>
      </c>
      <c r="U47" s="38"/>
      <c r="V47" s="861"/>
      <c r="W47" s="39" t="s">
        <v>70</v>
      </c>
      <c r="X47" s="9" t="s">
        <v>116</v>
      </c>
      <c r="Y47" s="28" t="s">
        <v>8</v>
      </c>
      <c r="Z47" s="45">
        <f>Z45</f>
        <v>2.5555555555555554</v>
      </c>
      <c r="AA47" s="64">
        <f>($L$6+$L$8)*Z47</f>
        <v>3444.6759259259252</v>
      </c>
      <c r="AB47" s="16">
        <f>((K25*J25)+(K26*J26)+(K23*J23)+(K24*J24))*Z47</f>
        <v>555.57777777777767</v>
      </c>
      <c r="AC47" s="7">
        <f t="shared" si="4"/>
        <v>4000.2537037037027</v>
      </c>
    </row>
    <row r="48" spans="2:29" x14ac:dyDescent="0.2">
      <c r="B48" s="758"/>
      <c r="D48" s="861"/>
      <c r="E48" s="39" t="s">
        <v>68</v>
      </c>
      <c r="F48" s="9" t="s">
        <v>75</v>
      </c>
      <c r="G48" s="28" t="s">
        <v>12</v>
      </c>
      <c r="H48" s="45">
        <f>E19</f>
        <v>16</v>
      </c>
      <c r="I48" s="64">
        <v>0</v>
      </c>
      <c r="J48" s="16">
        <f>(($K$19*J19)+($K$20*J20))*H48</f>
        <v>2175.36</v>
      </c>
      <c r="K48" s="7">
        <f>I48+J48</f>
        <v>2175.36</v>
      </c>
      <c r="L48" s="18"/>
      <c r="M48" s="861"/>
      <c r="N48" s="39" t="s">
        <v>68</v>
      </c>
      <c r="O48" s="9" t="s">
        <v>115</v>
      </c>
      <c r="P48" s="28" t="s">
        <v>12</v>
      </c>
      <c r="Q48" s="45">
        <f>E19</f>
        <v>16</v>
      </c>
      <c r="R48" s="64">
        <v>0</v>
      </c>
      <c r="S48" s="16">
        <f>(($K$19*J19)+($K$20*J20))*Q48</f>
        <v>2175.36</v>
      </c>
      <c r="T48" s="7">
        <f t="shared" si="3"/>
        <v>2175.36</v>
      </c>
      <c r="U48" s="38"/>
      <c r="V48" s="861"/>
      <c r="W48" s="39" t="s">
        <v>68</v>
      </c>
      <c r="X48" s="9" t="s">
        <v>116</v>
      </c>
      <c r="Y48" s="28" t="s">
        <v>12</v>
      </c>
      <c r="Z48" s="45">
        <f>E19</f>
        <v>16</v>
      </c>
      <c r="AA48" s="64">
        <v>0</v>
      </c>
      <c r="AB48" s="16">
        <f>(($K$23*J23)+($K$24*J24))*Z48</f>
        <v>2218.56</v>
      </c>
      <c r="AC48" s="7">
        <f t="shared" si="4"/>
        <v>2218.56</v>
      </c>
    </row>
    <row r="49" spans="2:29" x14ac:dyDescent="0.2">
      <c r="B49" s="758"/>
      <c r="D49" s="861"/>
      <c r="E49" s="39" t="s">
        <v>42</v>
      </c>
      <c r="F49" s="9" t="s">
        <v>75</v>
      </c>
      <c r="G49" s="28" t="s">
        <v>8</v>
      </c>
      <c r="H49" s="45">
        <f>H45</f>
        <v>0.94444444444444442</v>
      </c>
      <c r="I49" s="64">
        <f>($J$6+$J$8)*H49</f>
        <v>1558.3333333333333</v>
      </c>
      <c r="J49" s="16">
        <f>((K21*J21)+(K22*J22)+(K19*J19)+(K20*J20))*H49</f>
        <v>205.75666666666666</v>
      </c>
      <c r="K49" s="7">
        <f>I49+J49</f>
        <v>1764.09</v>
      </c>
      <c r="L49" s="18"/>
      <c r="M49" s="861"/>
      <c r="N49" s="39" t="s">
        <v>157</v>
      </c>
      <c r="O49" s="9" t="s">
        <v>115</v>
      </c>
      <c r="P49" s="28" t="s">
        <v>8</v>
      </c>
      <c r="Q49" s="45">
        <f>Q45</f>
        <v>2.6666666666666665</v>
      </c>
      <c r="R49" s="64">
        <f>($K$6+$K$8)*Q49</f>
        <v>4400</v>
      </c>
      <c r="S49" s="16">
        <f>((K21*J21)+(K22*J22)+(K19*J19)+(K20*J20))*Q49</f>
        <v>580.96</v>
      </c>
      <c r="T49" s="7">
        <f>R49+S49</f>
        <v>4980.96</v>
      </c>
      <c r="U49" s="38"/>
      <c r="V49" s="861"/>
      <c r="W49" s="39" t="s">
        <v>58</v>
      </c>
      <c r="X49" s="9" t="s">
        <v>116</v>
      </c>
      <c r="Y49" s="28" t="s">
        <v>8</v>
      </c>
      <c r="Z49" s="45">
        <f>Z45</f>
        <v>2.5555555555555554</v>
      </c>
      <c r="AA49" s="64">
        <f>($L$6+$L$8)*Z49</f>
        <v>3444.6759259259252</v>
      </c>
      <c r="AB49" s="16">
        <f>((K25*J25)+(K26*J26)+(K23*J23)+(K24*J24))*Z49</f>
        <v>555.57777777777767</v>
      </c>
      <c r="AC49" s="7">
        <f t="shared" si="4"/>
        <v>4000.2537037037027</v>
      </c>
    </row>
    <row r="50" spans="2:29" x14ac:dyDescent="0.2">
      <c r="B50" s="758"/>
      <c r="D50" s="861"/>
      <c r="E50" s="39" t="s">
        <v>69</v>
      </c>
      <c r="F50" s="9" t="s">
        <v>75</v>
      </c>
      <c r="G50" s="28" t="s">
        <v>10</v>
      </c>
      <c r="H50" s="45">
        <f>E20</f>
        <v>1</v>
      </c>
      <c r="I50" s="64">
        <f>($J$6+$J$8)*H50</f>
        <v>1650</v>
      </c>
      <c r="J50" s="16">
        <f>((K21*J21)+(K22*J22)+(K19*J19)+(K20*J20))*H50</f>
        <v>217.86</v>
      </c>
      <c r="K50" s="7">
        <f t="shared" si="2"/>
        <v>1867.8600000000001</v>
      </c>
      <c r="L50" s="18"/>
      <c r="M50" s="861"/>
      <c r="N50" s="39" t="s">
        <v>69</v>
      </c>
      <c r="O50" s="9" t="s">
        <v>115</v>
      </c>
      <c r="P50" s="28" t="s">
        <v>10</v>
      </c>
      <c r="Q50" s="45">
        <f>E20</f>
        <v>1</v>
      </c>
      <c r="R50" s="64">
        <f>($K$6+$K$8)*Q50</f>
        <v>1650</v>
      </c>
      <c r="S50" s="16">
        <f>((K21*J21)+(K22*J22)+(K19*J19)+(K20*J20))*Q50</f>
        <v>217.86</v>
      </c>
      <c r="T50" s="7">
        <f t="shared" si="3"/>
        <v>1867.8600000000001</v>
      </c>
      <c r="U50" s="38"/>
      <c r="V50" s="861"/>
      <c r="W50" s="39" t="s">
        <v>69</v>
      </c>
      <c r="X50" s="9" t="s">
        <v>116</v>
      </c>
      <c r="Y50" s="28" t="s">
        <v>10</v>
      </c>
      <c r="Z50" s="45">
        <f>E20</f>
        <v>1</v>
      </c>
      <c r="AA50" s="64">
        <f>($L$6+$L$8)*Z50</f>
        <v>1347.9166666666665</v>
      </c>
      <c r="AB50" s="16">
        <f>((K25*J25)+(K26*J26)+(K23*J23)+(K24*J24))*Z50</f>
        <v>217.39999999999998</v>
      </c>
      <c r="AC50" s="7">
        <f t="shared" si="4"/>
        <v>1565.3166666666666</v>
      </c>
    </row>
    <row r="51" spans="2:29" x14ac:dyDescent="0.2">
      <c r="B51" s="758"/>
      <c r="D51" s="861"/>
      <c r="E51" s="39" t="s">
        <v>45</v>
      </c>
      <c r="F51" s="9" t="s">
        <v>75</v>
      </c>
      <c r="G51" s="28" t="s">
        <v>8</v>
      </c>
      <c r="H51" s="45">
        <f>H45</f>
        <v>0.94444444444444442</v>
      </c>
      <c r="I51" s="64">
        <f>($J$6+$J$8)*H51</f>
        <v>1558.3333333333333</v>
      </c>
      <c r="J51" s="16">
        <f>((K21*J21)+(K22*J22)+(K19*J19)+(K20*J20))*H51</f>
        <v>205.75666666666666</v>
      </c>
      <c r="K51" s="7">
        <f t="shared" si="2"/>
        <v>1764.09</v>
      </c>
      <c r="L51" s="18"/>
      <c r="M51" s="861"/>
      <c r="N51" s="39" t="s">
        <v>158</v>
      </c>
      <c r="O51" s="9" t="s">
        <v>115</v>
      </c>
      <c r="P51" s="28" t="s">
        <v>8</v>
      </c>
      <c r="Q51" s="45">
        <f>Q45</f>
        <v>2.6666666666666665</v>
      </c>
      <c r="R51" s="64">
        <f>($K$6+$K$8)*Q51</f>
        <v>4400</v>
      </c>
      <c r="S51" s="16">
        <f>((K21*J21)+(K22*J22)+(K19*J19)+(K20*J20))*Q51</f>
        <v>580.96</v>
      </c>
      <c r="T51" s="7">
        <f t="shared" si="3"/>
        <v>4980.96</v>
      </c>
      <c r="U51" s="38"/>
      <c r="V51" s="861"/>
      <c r="W51" s="39" t="s">
        <v>70</v>
      </c>
      <c r="X51" s="9" t="s">
        <v>116</v>
      </c>
      <c r="Y51" s="28" t="s">
        <v>8</v>
      </c>
      <c r="Z51" s="45">
        <f>Z45</f>
        <v>2.5555555555555554</v>
      </c>
      <c r="AA51" s="64">
        <f>($L$6+$L$8)*Z51</f>
        <v>3444.6759259259252</v>
      </c>
      <c r="AB51" s="16">
        <f>($K$19+$K$20)*Z51</f>
        <v>231.63555555555553</v>
      </c>
      <c r="AC51" s="7">
        <f t="shared" si="4"/>
        <v>3676.3114814814808</v>
      </c>
    </row>
    <row r="52" spans="2:29" ht="15" customHeight="1" x14ac:dyDescent="0.2">
      <c r="B52" s="758"/>
      <c r="D52" s="861"/>
      <c r="E52" s="39" t="s">
        <v>44</v>
      </c>
      <c r="F52" s="9" t="s">
        <v>75</v>
      </c>
      <c r="G52" s="28" t="s">
        <v>46</v>
      </c>
      <c r="H52" s="45">
        <f>H44</f>
        <v>0.77777777777777779</v>
      </c>
      <c r="I52" s="64">
        <f>($J$6+$J$8)*H52</f>
        <v>1283.3333333333333</v>
      </c>
      <c r="J52" s="16">
        <f>((K21*J21)+(K22*J22))*H52</f>
        <v>63.7</v>
      </c>
      <c r="K52" s="7">
        <f>I52+J52</f>
        <v>1347.0333333333333</v>
      </c>
      <c r="L52" s="18"/>
      <c r="M52" s="861"/>
      <c r="N52" s="39" t="s">
        <v>57</v>
      </c>
      <c r="O52" s="9" t="s">
        <v>115</v>
      </c>
      <c r="P52" s="28" t="s">
        <v>46</v>
      </c>
      <c r="Q52" s="45">
        <f>Q44</f>
        <v>0.77777777777777779</v>
      </c>
      <c r="R52" s="64">
        <f>($K$6+$K$8)*Q52</f>
        <v>1283.3333333333333</v>
      </c>
      <c r="S52" s="16">
        <f>((K21*J21)+(K22*J22))*Q52</f>
        <v>63.7</v>
      </c>
      <c r="T52" s="7">
        <f t="shared" si="3"/>
        <v>1347.0333333333333</v>
      </c>
      <c r="U52" s="38"/>
      <c r="V52" s="861"/>
      <c r="W52" s="39" t="s">
        <v>61</v>
      </c>
      <c r="X52" s="9" t="s">
        <v>116</v>
      </c>
      <c r="Y52" s="28" t="s">
        <v>46</v>
      </c>
      <c r="Z52" s="45">
        <f>Z44</f>
        <v>0</v>
      </c>
      <c r="AA52" s="64">
        <f>($L$6+$L$8)*Z52</f>
        <v>0</v>
      </c>
      <c r="AB52" s="16">
        <f>((K25*J25)+(K26*J26)+(K23*J23)+(K24*J24))*Z52</f>
        <v>0</v>
      </c>
      <c r="AC52" s="7">
        <f t="shared" si="4"/>
        <v>0</v>
      </c>
    </row>
    <row r="53" spans="2:29" ht="15" customHeight="1" x14ac:dyDescent="0.2">
      <c r="B53" s="758"/>
      <c r="D53" s="861"/>
      <c r="E53" s="39" t="s">
        <v>13</v>
      </c>
      <c r="F53" s="9" t="s">
        <v>75</v>
      </c>
      <c r="G53" s="27" t="s">
        <v>12</v>
      </c>
      <c r="H53" s="11" t="s">
        <v>9</v>
      </c>
      <c r="I53" s="9" t="s">
        <v>9</v>
      </c>
      <c r="J53" s="16" t="s">
        <v>9</v>
      </c>
      <c r="K53" s="7">
        <f>SUM(K44:K52)*$E$21</f>
        <v>1566.1506666666669</v>
      </c>
      <c r="L53" s="18"/>
      <c r="M53" s="861"/>
      <c r="N53" s="39" t="s">
        <v>13</v>
      </c>
      <c r="O53" s="9" t="s">
        <v>115</v>
      </c>
      <c r="P53" s="27" t="s">
        <v>12</v>
      </c>
      <c r="Q53" s="11" t="s">
        <v>9</v>
      </c>
      <c r="R53" s="9" t="s">
        <v>9</v>
      </c>
      <c r="S53" s="16" t="s">
        <v>9</v>
      </c>
      <c r="T53" s="7">
        <f>SUM(T44:T52)*$E$21</f>
        <v>2852.8986666666669</v>
      </c>
      <c r="U53" s="38"/>
      <c r="V53" s="861"/>
      <c r="W53" s="39" t="s">
        <v>13</v>
      </c>
      <c r="X53" s="9" t="s">
        <v>116</v>
      </c>
      <c r="Y53" s="27" t="s">
        <v>12</v>
      </c>
      <c r="Z53" s="11" t="s">
        <v>9</v>
      </c>
      <c r="AA53" s="9" t="s">
        <v>9</v>
      </c>
      <c r="AB53" s="16" t="s">
        <v>9</v>
      </c>
      <c r="AC53" s="7">
        <f>SUM(AC44:AC52)*$E$21</f>
        <v>2102.6265925925923</v>
      </c>
    </row>
    <row r="54" spans="2:29" ht="16" thickBot="1" x14ac:dyDescent="0.25">
      <c r="B54" s="759"/>
      <c r="D54" s="862"/>
      <c r="E54" s="42"/>
      <c r="F54" s="42"/>
      <c r="G54" s="42"/>
      <c r="H54" s="29"/>
      <c r="I54" s="901" t="s">
        <v>160</v>
      </c>
      <c r="J54" s="901"/>
      <c r="K54" s="37">
        <f>SUM(K44:K53)</f>
        <v>17227.657333333336</v>
      </c>
      <c r="M54" s="862"/>
      <c r="N54" s="42"/>
      <c r="O54" s="81"/>
      <c r="P54" s="42"/>
      <c r="Q54" s="29"/>
      <c r="R54" s="29"/>
      <c r="S54" s="67" t="s">
        <v>160</v>
      </c>
      <c r="T54" s="37">
        <f>SUM(T44:T53)</f>
        <v>31381.885333333335</v>
      </c>
      <c r="U54" s="38"/>
      <c r="V54" s="862"/>
      <c r="W54" s="42"/>
      <c r="X54" s="42"/>
      <c r="Y54" s="42"/>
      <c r="Z54" s="29"/>
      <c r="AA54" s="29"/>
      <c r="AB54" s="43" t="s">
        <v>160</v>
      </c>
      <c r="AC54" s="37">
        <f>SUM(AC44:AC53)</f>
        <v>23128.892518518511</v>
      </c>
    </row>
    <row r="55" spans="2:29" ht="15" customHeight="1" x14ac:dyDescent="0.2">
      <c r="L55" s="13"/>
    </row>
    <row r="56" spans="2:29" x14ac:dyDescent="0.2">
      <c r="L56" s="19"/>
    </row>
    <row r="57" spans="2:29" ht="16" thickBot="1" x14ac:dyDescent="0.25">
      <c r="L57" s="19"/>
    </row>
    <row r="58" spans="2:29" ht="19" customHeight="1" x14ac:dyDescent="0.2">
      <c r="B58" s="757" t="s">
        <v>26</v>
      </c>
      <c r="D58" s="852" t="s">
        <v>958</v>
      </c>
      <c r="E58" s="854"/>
      <c r="F58" s="843"/>
      <c r="G58" s="843"/>
      <c r="H58" s="843"/>
      <c r="I58" s="843"/>
      <c r="L58" s="19"/>
    </row>
    <row r="59" spans="2:29" ht="21" customHeight="1" thickBot="1" x14ac:dyDescent="0.25">
      <c r="B59" s="758"/>
      <c r="D59" s="834" t="s">
        <v>943</v>
      </c>
      <c r="E59" s="836"/>
      <c r="F59" s="843"/>
      <c r="G59" s="843"/>
      <c r="H59" s="843"/>
      <c r="I59" s="843"/>
      <c r="L59" s="19"/>
    </row>
    <row r="60" spans="2:29" ht="21" customHeight="1" x14ac:dyDescent="0.2">
      <c r="B60" s="758"/>
      <c r="D60" s="533" t="s">
        <v>62</v>
      </c>
      <c r="E60" s="492" t="s">
        <v>212</v>
      </c>
      <c r="F60" s="232"/>
      <c r="G60" s="232"/>
      <c r="H60" s="232"/>
      <c r="I60" s="232"/>
      <c r="L60" s="19"/>
    </row>
    <row r="61" spans="2:29" ht="25" customHeight="1" x14ac:dyDescent="0.2">
      <c r="B61" s="758"/>
      <c r="D61" s="509" t="s">
        <v>927</v>
      </c>
      <c r="E61" s="196">
        <f>(K42*MAX(E25,E29))+(K54*MAX(E26,E30))</f>
        <v>154959.75733333334</v>
      </c>
      <c r="F61" s="232"/>
      <c r="L61" s="19"/>
    </row>
    <row r="62" spans="2:29" ht="20" thickBot="1" x14ac:dyDescent="0.25">
      <c r="B62" s="759"/>
      <c r="D62" s="489" t="s">
        <v>929</v>
      </c>
      <c r="E62" s="196">
        <f>(T42*MAX(E25,E29))+(T54*MAX(E26,E30))</f>
        <v>239885.12533333333</v>
      </c>
      <c r="F62" s="187"/>
    </row>
    <row r="63" spans="2:29" ht="40" x14ac:dyDescent="0.2">
      <c r="B63" s="12"/>
      <c r="D63" s="509" t="s">
        <v>930</v>
      </c>
      <c r="E63" s="196">
        <f>(AC42*MAX(E25,E29))+(AC54*MAX(E26,E30))</f>
        <v>213360.52743703697</v>
      </c>
    </row>
    <row r="64" spans="2:29" ht="20" x14ac:dyDescent="0.2">
      <c r="B64" s="12"/>
      <c r="D64" s="509" t="s">
        <v>923</v>
      </c>
      <c r="E64" s="196">
        <f>(K42*MAX(E25,E27))+(K54*MAX(E26,E28))</f>
        <v>154959.75733333334</v>
      </c>
    </row>
    <row r="65" spans="2:5" ht="15" customHeight="1" x14ac:dyDescent="0.2">
      <c r="B65" s="12"/>
      <c r="D65" s="489" t="s">
        <v>924</v>
      </c>
      <c r="E65" s="196">
        <f>(T42*MAX(E25,E27))+(T54*MAX(E26,E28))</f>
        <v>239885.12533333333</v>
      </c>
    </row>
    <row r="66" spans="2:5" ht="21" thickBot="1" x14ac:dyDescent="0.25">
      <c r="B66" s="12"/>
      <c r="D66" s="490" t="s">
        <v>926</v>
      </c>
      <c r="E66" s="197">
        <f>(AC42*MAX(E25,E27))+(AC54*MAX(E26,E28))</f>
        <v>213360.52743703697</v>
      </c>
    </row>
    <row r="67" spans="2:5" x14ac:dyDescent="0.2">
      <c r="B67" s="12"/>
    </row>
    <row r="68" spans="2:5" x14ac:dyDescent="0.2">
      <c r="B68" s="12"/>
    </row>
    <row r="69" spans="2:5" x14ac:dyDescent="0.2">
      <c r="B69" s="12"/>
    </row>
    <row r="70" spans="2:5" x14ac:dyDescent="0.2">
      <c r="B70" s="12"/>
    </row>
    <row r="71" spans="2:5" x14ac:dyDescent="0.2">
      <c r="B71" s="12"/>
    </row>
    <row r="72" spans="2:5" x14ac:dyDescent="0.2">
      <c r="B72" s="12"/>
    </row>
    <row r="73" spans="2:5" x14ac:dyDescent="0.2">
      <c r="B73" s="12"/>
    </row>
    <row r="74" spans="2:5" x14ac:dyDescent="0.2">
      <c r="B74" s="12"/>
    </row>
    <row r="75" spans="2:5" x14ac:dyDescent="0.2">
      <c r="B75" s="12"/>
    </row>
    <row r="80" spans="2:5" x14ac:dyDescent="0.2">
      <c r="B80" s="12"/>
    </row>
    <row r="81" spans="2:11" x14ac:dyDescent="0.2">
      <c r="B81" s="12"/>
    </row>
    <row r="82" spans="2:11" x14ac:dyDescent="0.2">
      <c r="B82" s="12"/>
    </row>
    <row r="83" spans="2:11" x14ac:dyDescent="0.2">
      <c r="B83" s="12"/>
    </row>
    <row r="84" spans="2:11" x14ac:dyDescent="0.2">
      <c r="B84" s="12"/>
    </row>
    <row r="85" spans="2:11" x14ac:dyDescent="0.2">
      <c r="B85" s="12"/>
    </row>
    <row r="86" spans="2:11" x14ac:dyDescent="0.2">
      <c r="B86" s="12"/>
    </row>
    <row r="87" spans="2:11" x14ac:dyDescent="0.2">
      <c r="B87" s="12"/>
    </row>
    <row r="88" spans="2:11" x14ac:dyDescent="0.2">
      <c r="B88" s="12"/>
    </row>
    <row r="89" spans="2:11" x14ac:dyDescent="0.2">
      <c r="B89" s="12"/>
    </row>
    <row r="90" spans="2:11" x14ac:dyDescent="0.2">
      <c r="B90" s="12"/>
    </row>
    <row r="91" spans="2:11" ht="16" x14ac:dyDescent="0.2">
      <c r="B91" s="12"/>
      <c r="D91" s="871"/>
      <c r="E91" s="871"/>
      <c r="F91" s="871"/>
      <c r="G91" s="871"/>
      <c r="H91" s="871"/>
      <c r="I91" s="871"/>
      <c r="J91" s="871"/>
      <c r="K91" s="871"/>
    </row>
    <row r="92" spans="2:11" x14ac:dyDescent="0.2">
      <c r="B92" s="12"/>
      <c r="F92" s="872"/>
      <c r="G92" s="872"/>
      <c r="H92" s="872"/>
      <c r="I92" s="872"/>
      <c r="J92" s="872"/>
      <c r="K92" s="872"/>
    </row>
    <row r="93" spans="2:11" ht="23" customHeight="1" x14ac:dyDescent="0.2">
      <c r="D93" s="788"/>
      <c r="E93" s="48"/>
    </row>
    <row r="94" spans="2:11" ht="42" customHeight="1" x14ac:dyDescent="0.2">
      <c r="D94" s="788"/>
      <c r="E94" s="49"/>
    </row>
    <row r="95" spans="2:11" ht="49" customHeight="1" x14ac:dyDescent="0.2">
      <c r="D95" s="788"/>
      <c r="E95" s="48"/>
    </row>
    <row r="96" spans="2:11" ht="49" customHeight="1" x14ac:dyDescent="0.2">
      <c r="D96" s="788"/>
      <c r="E96" s="48"/>
    </row>
    <row r="97" spans="2:11" x14ac:dyDescent="0.2">
      <c r="D97" s="788"/>
      <c r="E97" s="50"/>
      <c r="F97" s="870"/>
      <c r="G97" s="870"/>
      <c r="H97" s="870"/>
      <c r="I97" s="870"/>
      <c r="J97" s="870"/>
      <c r="K97" s="870"/>
    </row>
    <row r="98" spans="2:11" x14ac:dyDescent="0.2">
      <c r="D98" s="787"/>
      <c r="E98" s="48"/>
    </row>
    <row r="99" spans="2:11" x14ac:dyDescent="0.2">
      <c r="D99" s="787"/>
      <c r="E99" s="49"/>
    </row>
    <row r="100" spans="2:11" x14ac:dyDescent="0.2">
      <c r="D100" s="787"/>
      <c r="E100" s="48"/>
    </row>
    <row r="101" spans="2:11" x14ac:dyDescent="0.2">
      <c r="B101" s="12"/>
      <c r="D101" s="787"/>
      <c r="E101" s="48"/>
    </row>
    <row r="102" spans="2:11" x14ac:dyDescent="0.2">
      <c r="B102" s="12"/>
      <c r="D102" s="787"/>
      <c r="E102" s="50"/>
      <c r="F102" s="870"/>
      <c r="G102" s="870"/>
      <c r="H102" s="870"/>
      <c r="I102" s="870"/>
      <c r="J102" s="870"/>
      <c r="K102" s="870"/>
    </row>
    <row r="103" spans="2:11" x14ac:dyDescent="0.2">
      <c r="B103" s="12"/>
    </row>
    <row r="104" spans="2:11" x14ac:dyDescent="0.2">
      <c r="B104" s="12"/>
    </row>
    <row r="105" spans="2:11" x14ac:dyDescent="0.2">
      <c r="B105" s="12"/>
    </row>
    <row r="106" spans="2:11" x14ac:dyDescent="0.2">
      <c r="B106" s="12"/>
    </row>
  </sheetData>
  <sheetProtection algorithmName="SHA-512" hashValue="Ca+i2xqWRMCnctmJwKphZ0oK6QAw8Y2HPLMOQU1BHSyxx+6crIU4FNKXD1Ma2rjb9lS84PHQRiB1oNl0u1YJ8Q==" saltValue="cYxJaZbV4VEbyDc0WCdAIw==" spinCount="100000" sheet="1" objects="1" scenarios="1"/>
  <mergeCells count="38">
    <mergeCell ref="D59:E59"/>
    <mergeCell ref="B34:B54"/>
    <mergeCell ref="D34:K34"/>
    <mergeCell ref="M34:T34"/>
    <mergeCell ref="B3:B29"/>
    <mergeCell ref="I3:L3"/>
    <mergeCell ref="O16:O17"/>
    <mergeCell ref="O18:O19"/>
    <mergeCell ref="D3:G3"/>
    <mergeCell ref="D15:F15"/>
    <mergeCell ref="D24:E24"/>
    <mergeCell ref="I17:K17"/>
    <mergeCell ref="V34:AC34"/>
    <mergeCell ref="D35:D42"/>
    <mergeCell ref="M35:M42"/>
    <mergeCell ref="V35:V42"/>
    <mergeCell ref="U37:U44"/>
    <mergeCell ref="I42:J42"/>
    <mergeCell ref="D43:D54"/>
    <mergeCell ref="M43:M54"/>
    <mergeCell ref="V43:V54"/>
    <mergeCell ref="I54:J54"/>
    <mergeCell ref="D98:D102"/>
    <mergeCell ref="F102:G102"/>
    <mergeCell ref="H102:I102"/>
    <mergeCell ref="J102:K102"/>
    <mergeCell ref="B58:B62"/>
    <mergeCell ref="F58:I58"/>
    <mergeCell ref="F59:I59"/>
    <mergeCell ref="D91:K91"/>
    <mergeCell ref="F92:G92"/>
    <mergeCell ref="H92:I92"/>
    <mergeCell ref="J92:K92"/>
    <mergeCell ref="D93:D97"/>
    <mergeCell ref="F97:G97"/>
    <mergeCell ref="H97:I97"/>
    <mergeCell ref="J97:K97"/>
    <mergeCell ref="D58:E5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9A34-FFDE-7A45-AE25-3B92E4D8695A}">
  <dimension ref="B2:Q40"/>
  <sheetViews>
    <sheetView workbookViewId="0">
      <selection activeCell="K32" sqref="K32"/>
    </sheetView>
  </sheetViews>
  <sheetFormatPr baseColWidth="10" defaultRowHeight="15" x14ac:dyDescent="0.2"/>
  <cols>
    <col min="1" max="3" width="10.83203125" style="1"/>
    <col min="4" max="4" width="34.6640625" style="1" customWidth="1"/>
    <col min="5" max="6" width="10.83203125" style="1"/>
    <col min="7" max="7" width="18.6640625" style="1" customWidth="1"/>
    <col min="8" max="10" width="10.83203125" style="1"/>
    <col min="11" max="11" width="15" style="1" bestFit="1" customWidth="1"/>
    <col min="12" max="12" width="18.33203125" style="1" customWidth="1"/>
    <col min="13" max="16384" width="10.83203125" style="1"/>
  </cols>
  <sheetData>
    <row r="2" spans="2:10" ht="16" thickBot="1" x14ac:dyDescent="0.25"/>
    <row r="3" spans="2:10" ht="16" customHeight="1" x14ac:dyDescent="0.25">
      <c r="B3" s="757" t="s">
        <v>25</v>
      </c>
      <c r="D3" s="760" t="s">
        <v>548</v>
      </c>
      <c r="E3" s="762"/>
      <c r="G3" s="990"/>
      <c r="H3" s="990"/>
      <c r="I3" s="4"/>
      <c r="J3" s="4"/>
    </row>
    <row r="4" spans="2:10" ht="18" thickBot="1" x14ac:dyDescent="0.25">
      <c r="B4" s="758"/>
      <c r="D4" s="396" t="s">
        <v>19</v>
      </c>
      <c r="E4" s="534" t="s">
        <v>17</v>
      </c>
      <c r="G4" s="481"/>
      <c r="H4" s="484"/>
      <c r="I4" s="68"/>
      <c r="J4" s="68"/>
    </row>
    <row r="5" spans="2:10" ht="16" x14ac:dyDescent="0.2">
      <c r="B5" s="758"/>
      <c r="D5" s="535" t="s">
        <v>868</v>
      </c>
      <c r="E5" s="690">
        <v>5120</v>
      </c>
      <c r="G5" s="88"/>
      <c r="H5" s="113"/>
      <c r="I5" s="60"/>
      <c r="J5" s="60"/>
    </row>
    <row r="6" spans="2:10" ht="32" x14ac:dyDescent="0.2">
      <c r="B6" s="758"/>
      <c r="D6" s="330" t="s">
        <v>872</v>
      </c>
      <c r="E6" s="570">
        <v>27</v>
      </c>
      <c r="G6" s="88"/>
      <c r="H6" s="113"/>
      <c r="I6" s="60"/>
      <c r="J6" s="60"/>
    </row>
    <row r="7" spans="2:10" ht="33" thickBot="1" x14ac:dyDescent="0.25">
      <c r="B7" s="759"/>
      <c r="D7" s="478" t="s">
        <v>871</v>
      </c>
      <c r="E7" s="571">
        <v>15</v>
      </c>
      <c r="I7" s="60"/>
      <c r="J7" s="60"/>
    </row>
    <row r="8" spans="2:10" x14ac:dyDescent="0.2">
      <c r="B8" s="12"/>
      <c r="D8" s="1120"/>
      <c r="E8" s="1120"/>
      <c r="F8" s="1120"/>
      <c r="G8" s="1120"/>
      <c r="H8" s="113"/>
      <c r="I8" s="60"/>
      <c r="J8" s="60"/>
    </row>
    <row r="9" spans="2:10" x14ac:dyDescent="0.2">
      <c r="B9" s="12"/>
      <c r="D9" s="209"/>
      <c r="E9" s="209"/>
      <c r="F9" s="209"/>
      <c r="G9" s="209"/>
      <c r="H9" s="113"/>
      <c r="I9" s="60"/>
      <c r="J9" s="60"/>
    </row>
    <row r="10" spans="2:10" ht="16" thickBot="1" x14ac:dyDescent="0.25">
      <c r="B10" s="12"/>
      <c r="D10" s="1120"/>
      <c r="E10" s="1120"/>
      <c r="F10" s="1120"/>
      <c r="G10" s="1120"/>
      <c r="H10" s="113"/>
      <c r="I10" s="60"/>
      <c r="J10" s="60"/>
    </row>
    <row r="11" spans="2:10" ht="15" customHeight="1" x14ac:dyDescent="0.2">
      <c r="B11" s="757" t="s">
        <v>51</v>
      </c>
      <c r="D11" s="1121" t="s">
        <v>873</v>
      </c>
      <c r="E11" s="1121"/>
      <c r="F11" s="1121"/>
      <c r="G11" s="1121"/>
      <c r="H11" s="113"/>
      <c r="I11" s="60"/>
      <c r="J11" s="60"/>
    </row>
    <row r="12" spans="2:10" x14ac:dyDescent="0.2">
      <c r="B12" s="758"/>
    </row>
    <row r="13" spans="2:10" x14ac:dyDescent="0.2">
      <c r="B13" s="758"/>
    </row>
    <row r="14" spans="2:10" x14ac:dyDescent="0.2">
      <c r="B14" s="758"/>
    </row>
    <row r="15" spans="2:10" x14ac:dyDescent="0.2">
      <c r="B15" s="758"/>
    </row>
    <row r="16" spans="2:10" x14ac:dyDescent="0.2">
      <c r="B16" s="758"/>
    </row>
    <row r="17" spans="2:17" ht="16" thickBot="1" x14ac:dyDescent="0.25">
      <c r="B17" s="759"/>
    </row>
    <row r="18" spans="2:17" x14ac:dyDescent="0.2">
      <c r="B18" s="12"/>
    </row>
    <row r="19" spans="2:17" x14ac:dyDescent="0.2">
      <c r="B19" s="12"/>
    </row>
    <row r="20" spans="2:17" ht="16" thickBot="1" x14ac:dyDescent="0.25">
      <c r="B20" s="12"/>
    </row>
    <row r="21" spans="2:17" ht="19" customHeight="1" x14ac:dyDescent="0.2">
      <c r="B21" s="757" t="s">
        <v>26</v>
      </c>
      <c r="D21" s="852" t="s">
        <v>180</v>
      </c>
      <c r="E21" s="853"/>
      <c r="F21" s="854"/>
      <c r="G21" s="169"/>
      <c r="H21" s="831" t="s">
        <v>604</v>
      </c>
      <c r="I21" s="832"/>
      <c r="J21" s="832"/>
      <c r="K21" s="833"/>
    </row>
    <row r="22" spans="2:17" ht="20" thickBot="1" x14ac:dyDescent="0.25">
      <c r="B22" s="758"/>
      <c r="D22" s="834" t="s">
        <v>945</v>
      </c>
      <c r="E22" s="835"/>
      <c r="F22" s="836"/>
      <c r="G22" s="169"/>
      <c r="H22" s="834" t="s">
        <v>947</v>
      </c>
      <c r="I22" s="835"/>
      <c r="J22" s="835"/>
      <c r="K22" s="836"/>
    </row>
    <row r="23" spans="2:17" ht="19" x14ac:dyDescent="0.2">
      <c r="B23" s="758"/>
      <c r="D23" s="475" t="s">
        <v>607</v>
      </c>
      <c r="E23" s="1122" t="s">
        <v>606</v>
      </c>
      <c r="F23" s="1123"/>
      <c r="H23" s="911" t="s">
        <v>607</v>
      </c>
      <c r="I23" s="912"/>
      <c r="J23" s="1127"/>
      <c r="K23" s="210" t="s">
        <v>606</v>
      </c>
    </row>
    <row r="24" spans="2:17" ht="19" customHeight="1" x14ac:dyDescent="0.25">
      <c r="B24" s="758"/>
      <c r="D24" s="537" t="s">
        <v>959</v>
      </c>
      <c r="E24" s="1130">
        <f>E5/1000*1*6</f>
        <v>30.72</v>
      </c>
      <c r="F24" s="1131"/>
      <c r="H24" s="909" t="s">
        <v>946</v>
      </c>
      <c r="I24" s="910"/>
      <c r="J24" s="1132"/>
      <c r="K24" s="198">
        <v>432</v>
      </c>
      <c r="O24" s="843"/>
      <c r="P24" s="843"/>
      <c r="Q24" s="843"/>
    </row>
    <row r="25" spans="2:17" ht="21" thickBot="1" x14ac:dyDescent="0.3">
      <c r="B25" s="759"/>
      <c r="D25" s="509" t="s">
        <v>946</v>
      </c>
      <c r="E25" s="1124">
        <f>E5/1000*E7*6</f>
        <v>460.79999999999995</v>
      </c>
      <c r="F25" s="1125"/>
      <c r="H25" s="931" t="s">
        <v>185</v>
      </c>
      <c r="I25" s="932"/>
      <c r="J25" s="1126"/>
      <c r="K25" s="199">
        <v>810</v>
      </c>
      <c r="O25" s="990"/>
      <c r="P25" s="990"/>
      <c r="Q25" s="990"/>
    </row>
    <row r="26" spans="2:17" ht="20" thickBot="1" x14ac:dyDescent="0.3">
      <c r="B26" s="12"/>
      <c r="D26" s="536" t="s">
        <v>185</v>
      </c>
      <c r="E26" s="1128">
        <f>E5/1000*E6*6</f>
        <v>829.44</v>
      </c>
      <c r="F26" s="1129"/>
      <c r="G26" s="90"/>
      <c r="H26" s="90"/>
      <c r="I26" s="90"/>
      <c r="J26" s="90"/>
      <c r="K26" s="90"/>
      <c r="L26" s="90"/>
      <c r="O26" s="843"/>
      <c r="P26" s="843"/>
      <c r="Q26" s="187"/>
    </row>
    <row r="27" spans="2:17" ht="19" x14ac:dyDescent="0.25">
      <c r="B27" s="12"/>
      <c r="D27" s="90"/>
      <c r="E27" s="90"/>
      <c r="F27" s="90"/>
      <c r="G27" s="90"/>
      <c r="H27" s="90"/>
      <c r="I27" s="90"/>
      <c r="J27" s="90"/>
      <c r="K27" s="90"/>
      <c r="L27" s="90"/>
    </row>
    <row r="40" ht="15" customHeight="1" x14ac:dyDescent="0.2"/>
  </sheetData>
  <sheetProtection algorithmName="SHA-512" hashValue="8ICzi5+Vjw2xDfWP+hcpm2InG7dSjcbjUv5EvuIXzGhcUP8Qt8F/xlTjFUiV2xOTeYO6jStTIVtq37zp0nuikQ==" saltValue="UcSqT+7HoVRjQXNIj18TYA==" spinCount="100000" sheet="1" objects="1" scenarios="1"/>
  <mergeCells count="22">
    <mergeCell ref="O24:Q24"/>
    <mergeCell ref="O25:Q25"/>
    <mergeCell ref="O26:P26"/>
    <mergeCell ref="E26:F26"/>
    <mergeCell ref="E24:F24"/>
    <mergeCell ref="H24:J24"/>
    <mergeCell ref="B3:B7"/>
    <mergeCell ref="B11:B17"/>
    <mergeCell ref="B21:B25"/>
    <mergeCell ref="D8:G8"/>
    <mergeCell ref="D10:G10"/>
    <mergeCell ref="D11:G11"/>
    <mergeCell ref="D3:E3"/>
    <mergeCell ref="G3:H3"/>
    <mergeCell ref="E23:F23"/>
    <mergeCell ref="E25:F25"/>
    <mergeCell ref="D22:F22"/>
    <mergeCell ref="D21:F21"/>
    <mergeCell ref="H21:K21"/>
    <mergeCell ref="H22:K22"/>
    <mergeCell ref="H25:J25"/>
    <mergeCell ref="H23:J2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6694B-CE6D-3648-9E06-C8C6899EF60B}">
  <sheetPr>
    <tabColor rgb="FFF7E0E0"/>
  </sheetPr>
  <dimension ref="M1:U265"/>
  <sheetViews>
    <sheetView tabSelected="1" zoomScale="80" zoomScaleNormal="80" workbookViewId="0">
      <selection activeCell="N89" sqref="N89:P89"/>
    </sheetView>
  </sheetViews>
  <sheetFormatPr baseColWidth="10" defaultRowHeight="15" x14ac:dyDescent="0.2"/>
  <cols>
    <col min="1" max="1" width="10.83203125" style="1"/>
    <col min="2" max="2" width="25.6640625" style="1" customWidth="1"/>
    <col min="3" max="3" width="22" style="1" bestFit="1" customWidth="1"/>
    <col min="4" max="4" width="24.5" style="1" bestFit="1" customWidth="1"/>
    <col min="5" max="5" width="23" style="1" bestFit="1" customWidth="1"/>
    <col min="6" max="6" width="12.1640625" style="1" bestFit="1" customWidth="1"/>
    <col min="7" max="7" width="13.6640625" style="1" bestFit="1" customWidth="1"/>
    <col min="8" max="8" width="9.1640625" style="1" bestFit="1" customWidth="1"/>
    <col min="9" max="9" width="10.33203125" style="1" bestFit="1" customWidth="1"/>
    <col min="10" max="10" width="11.5" style="1" bestFit="1" customWidth="1"/>
    <col min="11" max="12" width="10.83203125" style="1"/>
    <col min="13" max="13" width="21" style="1" bestFit="1" customWidth="1"/>
    <col min="14" max="14" width="30.33203125" style="1" customWidth="1"/>
    <col min="15" max="15" width="25.33203125" style="1" customWidth="1"/>
    <col min="16" max="16" width="24.1640625" style="1" customWidth="1"/>
    <col min="17" max="17" width="24.5" style="1" bestFit="1" customWidth="1"/>
    <col min="18" max="18" width="23.6640625" style="1" bestFit="1" customWidth="1"/>
    <col min="19" max="19" width="14" style="1" customWidth="1"/>
    <col min="20" max="20" width="22.1640625" style="1" customWidth="1"/>
    <col min="21" max="16384" width="10.83203125" style="1"/>
  </cols>
  <sheetData>
    <row r="1" spans="13:19" ht="45" customHeight="1" x14ac:dyDescent="0.2"/>
    <row r="2" spans="13:19" ht="19" x14ac:dyDescent="0.2">
      <c r="O2" s="169"/>
      <c r="P2" s="169"/>
      <c r="Q2" s="169"/>
      <c r="R2" s="169"/>
    </row>
    <row r="4" spans="13:19" x14ac:dyDescent="0.2">
      <c r="R4" s="1" t="s">
        <v>183</v>
      </c>
    </row>
    <row r="5" spans="13:19" ht="16" thickBot="1" x14ac:dyDescent="0.25"/>
    <row r="6" spans="13:19" ht="21" x14ac:dyDescent="0.2">
      <c r="M6" s="1133" t="s">
        <v>1015</v>
      </c>
      <c r="N6" s="1134"/>
      <c r="O6" s="1134"/>
      <c r="P6" s="1135"/>
    </row>
    <row r="7" spans="13:19" ht="22" thickBot="1" x14ac:dyDescent="0.25">
      <c r="M7" s="1136" t="s">
        <v>1024</v>
      </c>
      <c r="N7" s="1137"/>
      <c r="O7" s="1137"/>
      <c r="P7" s="1138"/>
    </row>
    <row r="8" spans="13:19" ht="40" x14ac:dyDescent="0.2">
      <c r="M8" s="538"/>
      <c r="N8" s="539" t="s">
        <v>556</v>
      </c>
      <c r="O8" s="124" t="s">
        <v>557</v>
      </c>
      <c r="P8" s="540" t="s">
        <v>558</v>
      </c>
    </row>
    <row r="9" spans="13:19" ht="40" x14ac:dyDescent="0.2">
      <c r="M9" s="135" t="s">
        <v>1004</v>
      </c>
      <c r="N9" s="133">
        <f>'1. MADWEC CapEx'!J365+'1. MADWEC Installation'!E108+'1. MADWEC O&amp;M'!E70</f>
        <v>3043651.0043333331</v>
      </c>
      <c r="O9" s="118">
        <f>'1. MADWEC CapEx'!J365+'1. MADWEC Installation'!E109+'1. MADWEC O&amp;M'!E71</f>
        <v>3106345.0303333332</v>
      </c>
      <c r="P9" s="130">
        <f>'1. MADWEC CapEx'!J365+'1. MADWEC Installation'!E110+'1. MADWEC O&amp;M'!E72</f>
        <v>3090824.3300703703</v>
      </c>
      <c r="R9" s="1141" t="s">
        <v>1016</v>
      </c>
    </row>
    <row r="10" spans="13:19" ht="80" x14ac:dyDescent="0.2">
      <c r="M10" s="136" t="s">
        <v>1005</v>
      </c>
      <c r="N10" s="133">
        <f>'1. MADWEC CapEx'!J365+'1. MADWEC Installation'!E105+'1. MADWEC O&amp;M'!E67</f>
        <v>3043651.0043333331</v>
      </c>
      <c r="O10" s="118">
        <f>'1. MADWEC CapEx'!J365+'1. MADWEC Installation'!E106+'1. MADWEC O&amp;M'!E68</f>
        <v>3106345.0303333332</v>
      </c>
      <c r="P10" s="130">
        <f>'1. MADWEC CapEx'!J365+'1. MADWEC Installation'!E107+'1. MADWEC O&amp;M'!E69</f>
        <v>3090824.3300703703</v>
      </c>
      <c r="R10" s="1142"/>
      <c r="S10" s="69"/>
    </row>
    <row r="11" spans="13:19" ht="40" x14ac:dyDescent="0.2">
      <c r="M11" s="136" t="s">
        <v>1006</v>
      </c>
      <c r="N11" s="133">
        <f>'2. Solar CapEx'!J272+'2. Solar Installation'!E100+'2. Solar O&amp;M'!E66</f>
        <v>3120161.4563333336</v>
      </c>
      <c r="O11" s="118">
        <f>'2. Solar CapEx'!J272+'2. Solar Installation'!E101+'2. Solar O&amp;M'!E67</f>
        <v>3188654.4823333332</v>
      </c>
      <c r="P11" s="130">
        <f>'2. Solar CapEx'!J272+'2. Solar Installation'!E102+'2. Solar O&amp;M'!E68</f>
        <v>3167278.1750703705</v>
      </c>
      <c r="R11" s="1143"/>
    </row>
    <row r="12" spans="13:19" ht="60" x14ac:dyDescent="0.2">
      <c r="M12" s="136" t="s">
        <v>1008</v>
      </c>
      <c r="N12" s="133">
        <f>'2. Solar CapEx'!J272+'2. Solar Installation'!E97+'2. Solar O&amp;M'!E63</f>
        <v>3120161.4563333336</v>
      </c>
      <c r="O12" s="118">
        <f>'2. Solar CapEx'!J272+'2. Solar Installation'!E98+'2. Solar O&amp;M'!E64</f>
        <v>3188654.4823333332</v>
      </c>
      <c r="P12" s="130">
        <f>'2. Solar CapEx'!J272+'2. Solar Installation'!E99+'2. Solar O&amp;M'!E65</f>
        <v>3167278.1750703705</v>
      </c>
    </row>
    <row r="13" spans="13:19" ht="40" x14ac:dyDescent="0.2">
      <c r="M13" s="136" t="s">
        <v>1007</v>
      </c>
      <c r="N13" s="133">
        <f>'3. Battery CapEx'!K260+'3. Battery Installation'!E102+'3. Battery O&amp;M'!E64</f>
        <v>3164022.7706666663</v>
      </c>
      <c r="O13" s="118">
        <f>'3. Battery CapEx'!K260+'3. Battery Installation'!E103+'3. Battery O&amp;M'!E65</f>
        <v>3255025.2526666666</v>
      </c>
      <c r="P13" s="130">
        <f>'3. Battery CapEx'!K260+'3. Battery Installation'!E104+'3. Battery O&amp;M'!E66</f>
        <v>3230137.2287703701</v>
      </c>
    </row>
    <row r="14" spans="13:19" ht="61" thickBot="1" x14ac:dyDescent="0.25">
      <c r="M14" s="137" t="s">
        <v>1009</v>
      </c>
      <c r="N14" s="134">
        <f>'3. Battery CapEx'!M260+'3. Battery Installation'!E99+'3. Battery O&amp;M'!E61</f>
        <v>3123222.7706666663</v>
      </c>
      <c r="O14" s="131">
        <f>'3. Battery CapEx'!M260+'3. Battery Installation'!E100+'3. Battery O&amp;M'!E62</f>
        <v>3214225.2526666666</v>
      </c>
      <c r="P14" s="132">
        <f>'3. Battery CapEx'!M260+'3. Battery Installation'!E101+'3. Battery O&amp;M'!E63</f>
        <v>3189337.2287703701</v>
      </c>
    </row>
    <row r="26" spans="13:18" ht="16" thickBot="1" x14ac:dyDescent="0.25"/>
    <row r="27" spans="13:18" ht="21" x14ac:dyDescent="0.2">
      <c r="M27" s="1133" t="s">
        <v>960</v>
      </c>
      <c r="N27" s="1134"/>
      <c r="O27" s="1134"/>
      <c r="P27" s="1135"/>
    </row>
    <row r="28" spans="13:18" ht="22" thickBot="1" x14ac:dyDescent="0.25">
      <c r="M28" s="1136" t="s">
        <v>1025</v>
      </c>
      <c r="N28" s="1137"/>
      <c r="O28" s="1137"/>
      <c r="P28" s="1138"/>
    </row>
    <row r="29" spans="13:18" ht="40" x14ac:dyDescent="0.2">
      <c r="M29" s="538"/>
      <c r="N29" s="539" t="s">
        <v>556</v>
      </c>
      <c r="O29" s="124" t="s">
        <v>557</v>
      </c>
      <c r="P29" s="540" t="s">
        <v>558</v>
      </c>
    </row>
    <row r="30" spans="13:18" ht="40" x14ac:dyDescent="0.2">
      <c r="M30" s="135" t="s">
        <v>1004</v>
      </c>
      <c r="N30" s="133">
        <f>'1. MADWEC CapEx'!H396+'1. MADWEC Installation'!K108</f>
        <v>4231965.5236666668</v>
      </c>
      <c r="O30" s="118">
        <f>'1. MADWEC CapEx'!H396+'1. MADWEC Installation'!K109</f>
        <v>4245119.7516666669</v>
      </c>
      <c r="P30" s="130">
        <f>'1. MADWEC CapEx'!H396+'1. MADWEC Installation'!K110</f>
        <v>4252426.5918333335</v>
      </c>
      <c r="R30" s="1141" t="s">
        <v>1023</v>
      </c>
    </row>
    <row r="31" spans="13:18" ht="80" x14ac:dyDescent="0.2">
      <c r="M31" s="136" t="s">
        <v>1005</v>
      </c>
      <c r="N31" s="133">
        <f>'1. MADWEC CapEx'!H397+'1. MADWEC Installation'!K105</f>
        <v>3427066.8776666666</v>
      </c>
      <c r="O31" s="118">
        <f>'1. MADWEC CapEx'!H397+'1. MADWEC Installation'!K106</f>
        <v>3411916.9983333331</v>
      </c>
      <c r="P31" s="130">
        <f>'1. MADWEC CapEx'!H397+'1. MADWEC Installation'!K107</f>
        <v>3453930.7234999998</v>
      </c>
      <c r="R31" s="1142"/>
    </row>
    <row r="32" spans="13:18" ht="40" x14ac:dyDescent="0.2">
      <c r="M32" s="136" t="s">
        <v>1006</v>
      </c>
      <c r="N32" s="133">
        <f>'2. Solar CapEx'!G303+'2. Solar Installation'!H100</f>
        <v>4311557.9446666669</v>
      </c>
      <c r="O32" s="118">
        <f>'2. Solar CapEx'!G303+'2. Solar Installation'!H101</f>
        <v>4331235.1926666666</v>
      </c>
      <c r="P32" s="130">
        <f>'2. Solar CapEx'!G303+'2. Solar Installation'!E102</f>
        <v>4301984.3221666664</v>
      </c>
      <c r="R32" s="1143"/>
    </row>
    <row r="33" spans="13:17" ht="60" x14ac:dyDescent="0.2">
      <c r="M33" s="136" t="s">
        <v>1008</v>
      </c>
      <c r="N33" s="133">
        <f>'2. Solar CapEx'!G304+'2. Solar Installation'!H97</f>
        <v>3502550.0066666668</v>
      </c>
      <c r="O33" s="118">
        <f>'2. Solar CapEx'!G304+'2. Solar Installation'!H98</f>
        <v>3522498.2346666665</v>
      </c>
      <c r="P33" s="130">
        <f>'2. Solar CapEx'!G304+'2. Solar Installation'!H99</f>
        <v>3529523.6443333332</v>
      </c>
    </row>
    <row r="34" spans="13:17" ht="40" x14ac:dyDescent="0.2">
      <c r="M34" s="136" t="s">
        <v>1007</v>
      </c>
      <c r="N34" s="133">
        <f>'3. Battery CapEx'!I292+'3. Battery Installation'!J102</f>
        <v>4209176.3296666667</v>
      </c>
      <c r="O34" s="118">
        <f>'3. Battery CapEx'!I292+'3. Battery Installation'!J103</f>
        <v>4222330.5576666668</v>
      </c>
      <c r="P34" s="130">
        <f>'3. Battery CapEx'!I292+'3. Battery Installation'!J104</f>
        <v>4231179.5884999996</v>
      </c>
    </row>
    <row r="35" spans="13:17" ht="61" thickBot="1" x14ac:dyDescent="0.25">
      <c r="M35" s="137" t="s">
        <v>1009</v>
      </c>
      <c r="N35" s="134">
        <f>'3. Battery CapEx'!I293+'3. Battery Installation'!J99</f>
        <v>3400168.3916666666</v>
      </c>
      <c r="O35" s="131">
        <f>'3. Battery CapEx'!I293+'3. Battery Installation'!J100</f>
        <v>3413322.6196666667</v>
      </c>
      <c r="P35" s="132">
        <f>'3. Battery CapEx'!I293+'3. Battery Installation'!J101</f>
        <v>3428969.0235000001</v>
      </c>
    </row>
    <row r="43" spans="13:17" ht="19" x14ac:dyDescent="0.2">
      <c r="N43" s="541"/>
      <c r="O43" s="169"/>
      <c r="P43" s="169"/>
      <c r="Q43" s="169"/>
    </row>
    <row r="45" spans="13:17" ht="16" thickBot="1" x14ac:dyDescent="0.25"/>
    <row r="46" spans="13:17" ht="21" x14ac:dyDescent="0.2">
      <c r="M46" s="1133" t="s">
        <v>961</v>
      </c>
      <c r="N46" s="1134"/>
      <c r="O46" s="1134"/>
      <c r="P46" s="1135"/>
    </row>
    <row r="47" spans="13:17" ht="22" thickBot="1" x14ac:dyDescent="0.25">
      <c r="M47" s="1136" t="s">
        <v>922</v>
      </c>
      <c r="N47" s="1137"/>
      <c r="O47" s="1137"/>
      <c r="P47" s="1138"/>
    </row>
    <row r="48" spans="13:17" ht="40" x14ac:dyDescent="0.2">
      <c r="M48" s="538"/>
      <c r="N48" s="539" t="s">
        <v>556</v>
      </c>
      <c r="O48" s="124" t="s">
        <v>557</v>
      </c>
      <c r="P48" s="540" t="s">
        <v>558</v>
      </c>
    </row>
    <row r="49" spans="13:16" ht="40" x14ac:dyDescent="0.2">
      <c r="M49" s="135" t="s">
        <v>559</v>
      </c>
      <c r="N49" s="133">
        <f>'1. MADWEC CapEx'!H396+'1. MADWEC Installation'!E108+('1. MADWEC O&amp;M'!E70*3)</f>
        <v>4517462.2443333333</v>
      </c>
      <c r="O49" s="118">
        <f>'1. MADWEC CapEx'!H396+'1. MADWEC Installation'!E109+('1. MADWEC O&amp;M'!E71*3)</f>
        <v>4693390.094333333</v>
      </c>
      <c r="P49" s="130">
        <f>'1. MADWEC CapEx'!H396+'1. MADWEC Installation'!E110+('1. MADWEC O&amp;M'!E72*3)</f>
        <v>4632176.4292111108</v>
      </c>
    </row>
    <row r="50" spans="13:16" ht="40" x14ac:dyDescent="0.2">
      <c r="M50" s="136" t="s">
        <v>560</v>
      </c>
      <c r="N50" s="133">
        <f>'1. MADWEC CapEx'!H397+'1. MADWEC Installation'!E105+('1. MADWEC O&amp;M'!E67*3)</f>
        <v>3714618.2443333329</v>
      </c>
      <c r="O50" s="118">
        <f>'1. MADWEC CapEx'!H397+'1. MADWEC Installation'!E106+('1. MADWEC O&amp;M'!E68*3)</f>
        <v>3890546.094333333</v>
      </c>
      <c r="P50" s="130">
        <f>'1. MADWEC CapEx'!H397+'1. MADWEC Installation'!E107+('1. MADWEC O&amp;M'!E69*3)</f>
        <v>3829332.4292111108</v>
      </c>
    </row>
    <row r="51" spans="13:16" ht="40" x14ac:dyDescent="0.2">
      <c r="M51" s="136" t="s">
        <v>561</v>
      </c>
      <c r="N51" s="133">
        <f>'2. Solar CapEx'!G303+'2. Solar Installation'!E100+('2. Solar O&amp;M'!E66*3)</f>
        <v>4585754.1123333331</v>
      </c>
      <c r="O51" s="118">
        <f>'2. Solar CapEx'!G303+'2. Solar Installation'!E101+('2. Solar O&amp;M'!E67*3)</f>
        <v>4767480.9623333327</v>
      </c>
      <c r="P51" s="130">
        <f>'2. Solar CapEx'!G303+'2. Solar Installation'!E102+('2. Solar O&amp;M'!E68*3)</f>
        <v>4701742.880877777</v>
      </c>
    </row>
    <row r="52" spans="13:16" ht="40" x14ac:dyDescent="0.2">
      <c r="M52" s="136" t="s">
        <v>562</v>
      </c>
      <c r="N52" s="133">
        <f>'2. Solar CapEx'!G304+'2. Solar Installation'!E97+('2. Solar O&amp;M'!E63*3)</f>
        <v>3782910.1123333336</v>
      </c>
      <c r="O52" s="118">
        <f>'2. Solar CapEx'!G304+'2. Solar Installation'!E98+('2. Solar O&amp;M'!E64*3)</f>
        <v>3964636.9623333337</v>
      </c>
      <c r="P52" s="130">
        <f>'2. Solar CapEx'!G304+'2. Solar Installation'!E99+('2. Solar O&amp;M'!E65*3)</f>
        <v>3898898.8808777779</v>
      </c>
    </row>
    <row r="53" spans="13:16" ht="40" x14ac:dyDescent="0.2">
      <c r="M53" s="136" t="s">
        <v>563</v>
      </c>
      <c r="N53" s="133">
        <f>'3. Battery CapEx'!I292+'3. Battery Installation'!E102+('3. Battery O&amp;M'!E64*3)</f>
        <v>4651801.2853333335</v>
      </c>
      <c r="O53" s="118">
        <f>'3. Battery CapEx'!I292+'3. Battery Installation'!E103+('3. Battery O&amp;M'!E65*3)</f>
        <v>4912654.5033333329</v>
      </c>
      <c r="P53" s="130">
        <f>'3. Battery CapEx'!I292+'3. Battery Installation'!E104+('3. Battery O&amp;M'!E66*3)</f>
        <v>4834717.2836444443</v>
      </c>
    </row>
    <row r="54" spans="13:16" ht="41" thickBot="1" x14ac:dyDescent="0.25">
      <c r="M54" s="137" t="s">
        <v>564</v>
      </c>
      <c r="N54" s="134">
        <f>'3. Battery CapEx'!I293+'3. Battery Installation'!E99+('3. Battery O&amp;M'!E61*3)</f>
        <v>3848957.2853333331</v>
      </c>
      <c r="O54" s="131">
        <f>'3. Battery CapEx'!I293+'3. Battery Installation'!E100+('3. Battery O&amp;M'!E62*3)</f>
        <v>4109810.5033333329</v>
      </c>
      <c r="P54" s="132">
        <f>'3. Battery CapEx'!I293+'3. Battery Installation'!E101+('3. Battery O&amp;M'!E63*3)</f>
        <v>4031873.2836444443</v>
      </c>
    </row>
    <row r="66" spans="13:21" ht="19" x14ac:dyDescent="0.2">
      <c r="M66" s="169"/>
      <c r="N66" s="169"/>
    </row>
    <row r="67" spans="13:21" ht="16" thickBot="1" x14ac:dyDescent="0.25"/>
    <row r="68" spans="13:21" ht="18" customHeight="1" x14ac:dyDescent="0.2">
      <c r="M68" s="1133" t="s">
        <v>963</v>
      </c>
      <c r="N68" s="1135"/>
      <c r="O68" s="169"/>
      <c r="P68" s="169"/>
    </row>
    <row r="69" spans="13:21" ht="21" x14ac:dyDescent="0.2">
      <c r="M69" s="1139" t="s">
        <v>922</v>
      </c>
      <c r="N69" s="1140"/>
      <c r="O69" s="169"/>
      <c r="P69" s="169"/>
    </row>
    <row r="70" spans="13:21" ht="24" customHeight="1" thickBot="1" x14ac:dyDescent="0.25">
      <c r="M70" s="305" t="s">
        <v>962</v>
      </c>
      <c r="N70" s="479" t="s">
        <v>619</v>
      </c>
      <c r="O70" s="187"/>
      <c r="P70" s="187"/>
    </row>
    <row r="71" spans="13:21" ht="29" customHeight="1" x14ac:dyDescent="0.2">
      <c r="M71" s="542" t="s">
        <v>72</v>
      </c>
      <c r="N71" s="189">
        <f>'1. MADWEC CapEx'!H395</f>
        <v>37946.61</v>
      </c>
      <c r="O71" s="188"/>
      <c r="P71" s="188"/>
      <c r="T71" s="797"/>
      <c r="U71" s="797"/>
    </row>
    <row r="72" spans="13:21" ht="32" customHeight="1" x14ac:dyDescent="0.2">
      <c r="M72" s="200" t="s">
        <v>168</v>
      </c>
      <c r="N72" s="190">
        <f>'2. Solar CapEx'!G302</f>
        <v>120621</v>
      </c>
      <c r="O72" s="188"/>
      <c r="P72" s="188"/>
      <c r="T72" s="797"/>
      <c r="U72" s="797"/>
    </row>
    <row r="73" spans="13:21" ht="32" customHeight="1" thickBot="1" x14ac:dyDescent="0.25">
      <c r="M73" s="193" t="s">
        <v>967</v>
      </c>
      <c r="N73" s="319">
        <f>'3. Battery CapEx'!I291</f>
        <v>23376</v>
      </c>
      <c r="O73" s="188"/>
      <c r="P73" s="188"/>
      <c r="T73" s="5"/>
      <c r="U73" s="5"/>
    </row>
    <row r="74" spans="13:21" ht="45" customHeight="1" x14ac:dyDescent="0.2">
      <c r="M74" s="187"/>
      <c r="N74" s="543"/>
      <c r="O74" s="188"/>
      <c r="T74" s="68"/>
    </row>
    <row r="75" spans="13:21" ht="180" customHeight="1" x14ac:dyDescent="0.2">
      <c r="M75" s="187"/>
      <c r="N75" s="188"/>
      <c r="O75" s="188"/>
      <c r="P75" s="188"/>
      <c r="T75" s="5"/>
    </row>
    <row r="76" spans="13:21" ht="19" x14ac:dyDescent="0.2">
      <c r="M76" s="187"/>
      <c r="N76" s="188"/>
      <c r="O76" s="188"/>
      <c r="P76" s="188"/>
      <c r="T76" s="68"/>
    </row>
    <row r="77" spans="13:21" x14ac:dyDescent="0.2">
      <c r="T77" s="68"/>
    </row>
    <row r="85" spans="13:18" ht="16" thickBot="1" x14ac:dyDescent="0.25"/>
    <row r="86" spans="13:18" ht="21" x14ac:dyDescent="0.2">
      <c r="M86" s="1133" t="s">
        <v>594</v>
      </c>
      <c r="N86" s="1134"/>
      <c r="O86" s="1134"/>
      <c r="P86" s="1135"/>
    </row>
    <row r="87" spans="13:18" ht="22" thickBot="1" x14ac:dyDescent="0.25">
      <c r="M87" s="1136" t="s">
        <v>922</v>
      </c>
      <c r="N87" s="1137"/>
      <c r="O87" s="1137"/>
      <c r="P87" s="1138"/>
    </row>
    <row r="88" spans="13:18" ht="40" x14ac:dyDescent="0.2">
      <c r="M88" s="708"/>
      <c r="N88" s="539" t="s">
        <v>556</v>
      </c>
      <c r="O88" s="124" t="s">
        <v>557</v>
      </c>
      <c r="P88" s="709" t="s">
        <v>558</v>
      </c>
    </row>
    <row r="89" spans="13:18" ht="40" x14ac:dyDescent="0.2">
      <c r="M89" s="710" t="s">
        <v>970</v>
      </c>
      <c r="N89" s="717">
        <f>'1. MADWEC Power'!F121</f>
        <v>1.0432863256878289</v>
      </c>
      <c r="O89" s="718">
        <f>'1. MADWEC Power'!F122</f>
        <v>2.4634881001292617</v>
      </c>
      <c r="P89" s="719">
        <f>'1. MADWEC Power'!F123</f>
        <v>1.5181550281219247</v>
      </c>
    </row>
    <row r="90" spans="13:18" ht="40" x14ac:dyDescent="0.2">
      <c r="M90" s="712" t="s">
        <v>968</v>
      </c>
      <c r="N90" s="550">
        <f>'2. Solar Power'!G142</f>
        <v>118.60127999999999</v>
      </c>
      <c r="O90" s="551">
        <f>'2. Solar Power'!G143</f>
        <v>121.2932</v>
      </c>
      <c r="P90" s="711">
        <f>'2. Solar Power'!G144</f>
        <v>71.67</v>
      </c>
    </row>
    <row r="91" spans="13:18" ht="41" thickBot="1" x14ac:dyDescent="0.25">
      <c r="M91" s="713" t="s">
        <v>969</v>
      </c>
      <c r="N91" s="714">
        <f>'3. Battery Power'!E24</f>
        <v>30.72</v>
      </c>
      <c r="O91" s="715">
        <f>'3. Battery Power'!E24</f>
        <v>30.72</v>
      </c>
      <c r="P91" s="716">
        <f>'3. Battery Power'!E24</f>
        <v>30.72</v>
      </c>
    </row>
    <row r="94" spans="13:18" ht="19" x14ac:dyDescent="0.2">
      <c r="O94" s="169"/>
      <c r="P94" s="169"/>
      <c r="Q94" s="169"/>
      <c r="R94" s="169"/>
    </row>
    <row r="96" spans="13:18" ht="16" thickBot="1" x14ac:dyDescent="0.25"/>
    <row r="97" spans="13:17" ht="21" x14ac:dyDescent="0.2">
      <c r="M97" s="1133" t="s">
        <v>965</v>
      </c>
      <c r="N97" s="1134"/>
      <c r="O97" s="1134"/>
      <c r="P97" s="1135"/>
    </row>
    <row r="98" spans="13:17" ht="22" thickBot="1" x14ac:dyDescent="0.25">
      <c r="M98" s="1136" t="s">
        <v>964</v>
      </c>
      <c r="N98" s="1137"/>
      <c r="O98" s="1137"/>
      <c r="P98" s="1138"/>
    </row>
    <row r="99" spans="13:17" ht="41" thickBot="1" x14ac:dyDescent="0.25">
      <c r="M99" s="201" t="s">
        <v>62</v>
      </c>
      <c r="N99" s="119" t="s">
        <v>556</v>
      </c>
      <c r="O99" s="120" t="s">
        <v>557</v>
      </c>
      <c r="P99" s="138" t="s">
        <v>558</v>
      </c>
    </row>
    <row r="100" spans="13:17" ht="40" x14ac:dyDescent="0.2">
      <c r="M100" s="115" t="s">
        <v>559</v>
      </c>
      <c r="N100" s="204">
        <f>'1. MADWEC Power'!K121/'1. MADWEC Power'!O122</f>
        <v>1.0007820679746211</v>
      </c>
      <c r="O100" s="204">
        <f>'1. MADWEC Power'!K122/'1. MADWEC Power'!O122</f>
        <v>1.0006019567191693</v>
      </c>
      <c r="P100" s="205">
        <f>'1. MADWEC Power'!K123/'1. MADWEC Power'!O122</f>
        <v>1.00085775928038</v>
      </c>
    </row>
    <row r="101" spans="13:17" ht="41" thickBot="1" x14ac:dyDescent="0.25">
      <c r="M101" s="121" t="s">
        <v>560</v>
      </c>
      <c r="N101" s="206">
        <f>'1. MADWEC Power'!K124/'1. MADWEC Power'!O121</f>
        <v>1.0022310767602987</v>
      </c>
      <c r="O101" s="206">
        <f>'1. MADWEC Power'!K125/'1. MADWEC Power'!O121</f>
        <v>1.0036433000526621</v>
      </c>
      <c r="P101" s="207">
        <f>'1. MADWEC Power'!K126/'1. MADWEC Power'!O121</f>
        <v>1.0015606088304365</v>
      </c>
    </row>
    <row r="102" spans="13:17" ht="40" x14ac:dyDescent="0.2">
      <c r="M102" s="117" t="s">
        <v>561</v>
      </c>
      <c r="N102" s="204">
        <f>'2. Solar Power'!L145/'2. Solar Power'!P143</f>
        <v>1.1713706666666666</v>
      </c>
      <c r="O102" s="204">
        <f>'2. Solar Power'!L146/'2. Solar Power'!P143</f>
        <v>1.1979575308641974</v>
      </c>
      <c r="P102" s="205">
        <f>'2. Solar Power'!L147/'2. Solar Power'!P143</f>
        <v>1.0617777777777777</v>
      </c>
    </row>
    <row r="103" spans="13:17" ht="41" thickBot="1" x14ac:dyDescent="0.25">
      <c r="M103" s="122" t="s">
        <v>562</v>
      </c>
      <c r="N103" s="206">
        <f>'2. Solar Power'!L142/'2. Solar Power'!P142</f>
        <v>1.0981599999999998</v>
      </c>
      <c r="O103" s="206">
        <f>'2. Solar Power'!L143/'2. Solar Power'!P142</f>
        <v>1.1230851851851851</v>
      </c>
      <c r="P103" s="207">
        <f>'2. Solar Power'!L144/'2. Solar Power'!P142</f>
        <v>0.99541666666666662</v>
      </c>
    </row>
    <row r="104" spans="13:17" ht="40" x14ac:dyDescent="0.2">
      <c r="M104" s="116" t="s">
        <v>563</v>
      </c>
      <c r="N104" s="202">
        <f>'3. Battery Power'!E26/'3. Battery Power'!K25</f>
        <v>1.024</v>
      </c>
      <c r="O104" s="202">
        <f>'3. Battery Power'!E26/'3. Battery Power'!K25</f>
        <v>1.024</v>
      </c>
      <c r="P104" s="203">
        <f>'3. Battery Power'!E26/'3. Battery Power'!K25</f>
        <v>1.024</v>
      </c>
    </row>
    <row r="105" spans="13:17" ht="41" thickBot="1" x14ac:dyDescent="0.25">
      <c r="M105" s="123" t="s">
        <v>564</v>
      </c>
      <c r="N105" s="180">
        <f>'3. Battery Power'!E25/'3. Battery Power'!K24</f>
        <v>1.0666666666666667</v>
      </c>
      <c r="O105" s="180">
        <f>'3. Battery Power'!E25/'3. Battery Power'!K24</f>
        <v>1.0666666666666667</v>
      </c>
      <c r="P105" s="181">
        <f>'3. Battery Power'!E25/'3. Battery Power'!K24</f>
        <v>1.0666666666666667</v>
      </c>
    </row>
    <row r="109" spans="13:17" ht="57" customHeight="1" x14ac:dyDescent="0.2"/>
    <row r="110" spans="13:17" ht="19" x14ac:dyDescent="0.2">
      <c r="N110" s="169"/>
      <c r="O110" s="169"/>
      <c r="P110" s="169"/>
      <c r="Q110" s="169"/>
    </row>
    <row r="111" spans="13:17" ht="16" thickBot="1" x14ac:dyDescent="0.25"/>
    <row r="112" spans="13:17" ht="21" x14ac:dyDescent="0.2">
      <c r="M112" s="1133" t="s">
        <v>966</v>
      </c>
      <c r="N112" s="1134"/>
      <c r="O112" s="1134"/>
      <c r="P112" s="1135"/>
    </row>
    <row r="113" spans="13:18" ht="22" thickBot="1" x14ac:dyDescent="0.25">
      <c r="M113" s="1136" t="s">
        <v>964</v>
      </c>
      <c r="N113" s="1146"/>
      <c r="O113" s="1146"/>
      <c r="P113" s="1147"/>
    </row>
    <row r="114" spans="13:18" ht="41" thickBot="1" x14ac:dyDescent="0.25">
      <c r="M114" s="201" t="s">
        <v>62</v>
      </c>
      <c r="N114" s="119" t="s">
        <v>556</v>
      </c>
      <c r="O114" s="120" t="s">
        <v>557</v>
      </c>
      <c r="P114" s="138" t="s">
        <v>558</v>
      </c>
    </row>
    <row r="115" spans="13:18" ht="40" x14ac:dyDescent="0.2">
      <c r="M115" s="115" t="s">
        <v>559</v>
      </c>
      <c r="N115" s="247">
        <f>'1. MADWEC Power'!F6</f>
        <v>777</v>
      </c>
      <c r="O115" s="247">
        <f>'1. MADWEC Power'!F7</f>
        <v>329</v>
      </c>
      <c r="P115" s="248">
        <f>'1. MADWEC Power'!F8</f>
        <v>534</v>
      </c>
    </row>
    <row r="116" spans="13:18" ht="41" thickBot="1" x14ac:dyDescent="0.25">
      <c r="M116" s="121" t="s">
        <v>560</v>
      </c>
      <c r="N116" s="249">
        <f>'1. MADWEC Power'!F9</f>
        <v>415</v>
      </c>
      <c r="O116" s="249">
        <f>'1. MADWEC Power'!F10</f>
        <v>176</v>
      </c>
      <c r="P116" s="250">
        <f>'1. MADWEC Power'!F11</f>
        <v>285</v>
      </c>
    </row>
    <row r="117" spans="13:18" ht="40" x14ac:dyDescent="0.2">
      <c r="M117" s="117" t="s">
        <v>561</v>
      </c>
      <c r="N117" s="257" cm="1">
        <f t="array" ref="N117">_xlfn.IFS('2. Solar Power'!I8=1,'2. Solar Power'!H8*'2. Solar Power'!P5,'2. Solar Power'!I8=2,'2. Solar Power'!H8*'2. Solar Power'!P6)</f>
        <v>8</v>
      </c>
      <c r="O117" s="247" cm="1">
        <f t="array" ref="O117">_xlfn.IFS('2. Solar Power'!I9=1,'2. Solar Power'!H9*'2. Solar Power'!P5,'2. Solar Power'!I9=2,'2. Solar Power'!H9*'2. Solar Power'!P6)</f>
        <v>8</v>
      </c>
      <c r="P117" s="248" cm="1">
        <f t="array" ref="P117">_xlfn.IFS('2. Solar Power'!I10=1,'2. Solar Power'!H10*'2. Solar Power'!P5,'2. Solar Power'!I10=2,'2. Solar Power'!H10*'2. Solar Power'!P6)</f>
        <v>12</v>
      </c>
      <c r="R117" s="1148" t="s">
        <v>971</v>
      </c>
    </row>
    <row r="118" spans="13:18" ht="41" thickBot="1" x14ac:dyDescent="0.25">
      <c r="M118" s="122" t="s">
        <v>562</v>
      </c>
      <c r="N118" s="258" cm="1">
        <f t="array" ref="N118">_xlfn.IFS('2. Solar Power'!I5=1,'2. Solar Power'!H5*'2. Solar Power'!P5,'2. Solar Power'!I5=2,'2. Solar Power'!H5*'2. Solar Power'!P6)</f>
        <v>4</v>
      </c>
      <c r="O118" s="249" cm="1">
        <f t="array" ref="O118">_xlfn.IFS('2. Solar Power'!I6=1,'2. Solar Power'!H6*'2. Solar Power'!P5,'2. Solar Power'!I6=2,'2. Solar Power'!H6*'2. Solar Power'!P6)</f>
        <v>4</v>
      </c>
      <c r="P118" s="250" cm="1">
        <f t="array" ref="P118">_xlfn.IFS('2. Solar Power'!I7=1,'2. Solar Power'!H7*'2. Solar Power'!P5,'2. Solar Power'!I7=2,'2. Solar Power'!H7*'2. Solar Power'!P6)</f>
        <v>6</v>
      </c>
      <c r="R118" s="1149"/>
    </row>
    <row r="119" spans="13:18" ht="40" x14ac:dyDescent="0.2">
      <c r="M119" s="116" t="s">
        <v>563</v>
      </c>
      <c r="N119" s="251">
        <f>'3. Battery Power'!E6*2</f>
        <v>54</v>
      </c>
      <c r="O119" s="251">
        <f>'3. Battery Power'!E6*2</f>
        <v>54</v>
      </c>
      <c r="P119" s="252">
        <f>'3. Battery Power'!E6*2</f>
        <v>54</v>
      </c>
    </row>
    <row r="120" spans="13:18" ht="41" thickBot="1" x14ac:dyDescent="0.25">
      <c r="M120" s="123" t="s">
        <v>564</v>
      </c>
      <c r="N120" s="253">
        <f>'3. Battery Power'!E7*2</f>
        <v>30</v>
      </c>
      <c r="O120" s="253">
        <f>'3. Battery Power'!E7*2</f>
        <v>30</v>
      </c>
      <c r="P120" s="254">
        <f>'3. Battery Power'!E7*2</f>
        <v>30</v>
      </c>
    </row>
    <row r="132" spans="13:18" ht="16" thickBot="1" x14ac:dyDescent="0.25"/>
    <row r="133" spans="13:18" ht="21" x14ac:dyDescent="0.2">
      <c r="M133" s="1133" t="s">
        <v>981</v>
      </c>
      <c r="N133" s="1134"/>
      <c r="O133" s="1134"/>
      <c r="P133" s="1135"/>
    </row>
    <row r="134" spans="13:18" ht="22" thickBot="1" x14ac:dyDescent="0.25">
      <c r="M134" s="1136" t="s">
        <v>964</v>
      </c>
      <c r="N134" s="1146"/>
      <c r="O134" s="1146"/>
      <c r="P134" s="1147"/>
    </row>
    <row r="135" spans="13:18" ht="41" thickBot="1" x14ac:dyDescent="0.25">
      <c r="M135" s="201" t="s">
        <v>62</v>
      </c>
      <c r="N135" s="119" t="s">
        <v>556</v>
      </c>
      <c r="O135" s="120" t="s">
        <v>557</v>
      </c>
      <c r="P135" s="138" t="s">
        <v>558</v>
      </c>
    </row>
    <row r="136" spans="13:18" ht="40" x14ac:dyDescent="0.2">
      <c r="M136" s="115" t="s">
        <v>559</v>
      </c>
      <c r="N136" s="216">
        <f>'1. MADWEC CapEx'!L398+'1. MADWEC Installation'!H108</f>
        <v>21525503.926937982</v>
      </c>
      <c r="O136" s="216">
        <f>'1. MADWEC CapEx'!L399+'1. MADWEC Installation'!H109</f>
        <v>12438163.196566915</v>
      </c>
      <c r="P136" s="217">
        <f>'1. MADWEC CapEx'!L400+'1. MADWEC Installation'!H110</f>
        <v>18609926.414852142</v>
      </c>
    </row>
    <row r="137" spans="13:18" ht="41" thickBot="1" x14ac:dyDescent="0.25">
      <c r="M137" s="121" t="s">
        <v>560</v>
      </c>
      <c r="N137" s="544">
        <f>'1. MADWEC CapEx'!L395+'1. MADWEC Installation'!H105</f>
        <v>13722758.614670688</v>
      </c>
      <c r="O137" s="544">
        <f>'1. MADWEC CapEx'!L396+'1. MADWEC Installation'!H106</f>
        <v>8460813.8021686543</v>
      </c>
      <c r="P137" s="545">
        <f>'1. MADWEC CapEx'!L397+'1. MADWEC Installation'!H107</f>
        <v>12063694.356923785</v>
      </c>
      <c r="R137" s="1141" t="s">
        <v>980</v>
      </c>
    </row>
    <row r="138" spans="13:18" ht="40" x14ac:dyDescent="0.2">
      <c r="M138" s="117" t="s">
        <v>561</v>
      </c>
      <c r="N138" s="216">
        <f>'2. Solar CapEx'!K305+'2. Solar Installation'!E100</f>
        <v>4409924.6283333329</v>
      </c>
      <c r="O138" s="216">
        <f>'2. Solar CapEx'!K306+'2. Solar Installation'!E101</f>
        <v>4421800.742333333</v>
      </c>
      <c r="P138" s="217">
        <f>'2. Solar CapEx'!K307+'2. Solar Installation'!E102</f>
        <v>4543226.3221666664</v>
      </c>
      <c r="R138" s="1143"/>
    </row>
    <row r="139" spans="13:18" ht="41" thickBot="1" x14ac:dyDescent="0.25">
      <c r="M139" s="122" t="s">
        <v>562</v>
      </c>
      <c r="N139" s="544">
        <f>'2. Solar CapEx'!K302+'2. Solar Installation'!E97</f>
        <v>3486459.6283333334</v>
      </c>
      <c r="O139" s="544">
        <f>'2. Solar CapEx'!K303+'2. Solar Installation'!E98</f>
        <v>3498335.7423333335</v>
      </c>
      <c r="P139" s="545">
        <f>'2. Solar CapEx'!K304+'2. Solar Installation'!E99</f>
        <v>3035885.3221666669</v>
      </c>
    </row>
    <row r="140" spans="13:18" ht="40" x14ac:dyDescent="0.2">
      <c r="M140" s="116" t="s">
        <v>563</v>
      </c>
      <c r="N140" s="546">
        <f>'3. Battery CapEx'!L291+'3. Battery Installation'!E102</f>
        <v>4277022.0133333337</v>
      </c>
      <c r="O140" s="546">
        <f>'3. Battery CapEx'!L291+'3. Battery Installation'!E103</f>
        <v>4283099.1273333337</v>
      </c>
      <c r="P140" s="547">
        <f>'3. Battery CapEx'!L291+'3. Battery Installation'!E104</f>
        <v>4284735.7013333337</v>
      </c>
    </row>
    <row r="141" spans="13:18" ht="41" thickBot="1" x14ac:dyDescent="0.25">
      <c r="M141" s="123" t="s">
        <v>564</v>
      </c>
      <c r="N141" s="548">
        <f>'3. Battery CapEx'!L292+'3. Battery Installation'!E99</f>
        <v>3433378.0133333332</v>
      </c>
      <c r="O141" s="548">
        <f>'3. Battery CapEx'!L292+'3. Battery Installation'!E100</f>
        <v>3439455.1273333333</v>
      </c>
      <c r="P141" s="549">
        <f>'3. Battery CapEx'!L292+'3. Battery Installation'!E101</f>
        <v>3441091.7013333333</v>
      </c>
    </row>
    <row r="147" spans="14:18" x14ac:dyDescent="0.2">
      <c r="N147" s="224"/>
      <c r="P147" s="224"/>
    </row>
    <row r="148" spans="14:18" x14ac:dyDescent="0.2">
      <c r="N148" s="224"/>
      <c r="P148" s="224"/>
    </row>
    <row r="159" spans="14:18" ht="16" thickBot="1" x14ac:dyDescent="0.25"/>
    <row r="160" spans="14:18" ht="21" x14ac:dyDescent="0.2">
      <c r="O160" s="1133" t="s">
        <v>893</v>
      </c>
      <c r="P160" s="1134"/>
      <c r="Q160" s="1134"/>
      <c r="R160" s="1135"/>
    </row>
    <row r="161" spans="13:20" ht="21" x14ac:dyDescent="0.2">
      <c r="O161" s="1144" t="s">
        <v>876</v>
      </c>
      <c r="P161" s="1145"/>
      <c r="Q161" s="1145"/>
      <c r="R161" s="1140"/>
    </row>
    <row r="162" spans="13:20" ht="61" thickBot="1" x14ac:dyDescent="0.25">
      <c r="O162" s="213"/>
      <c r="P162" s="119" t="s">
        <v>556</v>
      </c>
      <c r="Q162" s="120" t="s">
        <v>557</v>
      </c>
      <c r="R162" s="214" t="s">
        <v>558</v>
      </c>
      <c r="T162" s="1141" t="s">
        <v>977</v>
      </c>
    </row>
    <row r="163" spans="13:20" ht="20" x14ac:dyDescent="0.2">
      <c r="O163" s="212" t="s">
        <v>875</v>
      </c>
      <c r="P163" s="216">
        <f>'1. MADWEC CapEx'!J365</f>
        <v>2920054.61</v>
      </c>
      <c r="Q163" s="216">
        <f>'1. MADWEC CapEx'!J365</f>
        <v>2920054.61</v>
      </c>
      <c r="R163" s="217">
        <f>'1. MADWEC CapEx'!J365</f>
        <v>2920054.61</v>
      </c>
      <c r="T163" s="1142"/>
    </row>
    <row r="164" spans="13:20" ht="20" x14ac:dyDescent="0.2">
      <c r="O164" s="215" t="s">
        <v>104</v>
      </c>
      <c r="P164" s="218">
        <f>'1. MADWEC Installation'!K59+'1. MADWEC Installation'!F98</f>
        <v>20670.274333333335</v>
      </c>
      <c r="Q164" s="218">
        <f>'1. MADWEC Installation'!T59+'1. MADWEC Installation'!O98</f>
        <v>26747.388333333332</v>
      </c>
      <c r="R164" s="219">
        <f>'1. MADWEC Installation'!AC59+'1. MADWEC Installation'!X98</f>
        <v>41591.19049999999</v>
      </c>
      <c r="T164" s="1143"/>
    </row>
    <row r="165" spans="13:20" ht="21" thickBot="1" x14ac:dyDescent="0.25">
      <c r="O165" s="208" t="s">
        <v>877</v>
      </c>
      <c r="P165" s="220">
        <f>'1. MADWEC O&amp;M'!E70</f>
        <v>102926.12</v>
      </c>
      <c r="Q165" s="220">
        <f>'1. MADWEC O&amp;M'!E71</f>
        <v>159543.03200000001</v>
      </c>
      <c r="R165" s="221">
        <f>'1. MADWEC O&amp;M'!E72</f>
        <v>136696.54957037035</v>
      </c>
    </row>
    <row r="167" spans="13:20" ht="19" x14ac:dyDescent="0.2">
      <c r="M167" s="187"/>
      <c r="N167" s="211"/>
    </row>
    <row r="168" spans="13:20" ht="19" x14ac:dyDescent="0.2">
      <c r="M168" s="187"/>
      <c r="N168" s="211"/>
    </row>
    <row r="169" spans="13:20" ht="19" x14ac:dyDescent="0.2">
      <c r="M169" s="187"/>
      <c r="N169" s="211"/>
    </row>
    <row r="178" spans="15:20" ht="16" thickBot="1" x14ac:dyDescent="0.25"/>
    <row r="179" spans="15:20" ht="21" x14ac:dyDescent="0.2">
      <c r="O179" s="1133" t="s">
        <v>894</v>
      </c>
      <c r="P179" s="1134"/>
      <c r="Q179" s="1134"/>
      <c r="R179" s="1135"/>
    </row>
    <row r="180" spans="15:20" ht="21" x14ac:dyDescent="0.2">
      <c r="O180" s="1144" t="s">
        <v>876</v>
      </c>
      <c r="P180" s="1145"/>
      <c r="Q180" s="1145"/>
      <c r="R180" s="1140"/>
      <c r="T180" s="1141" t="s">
        <v>977</v>
      </c>
    </row>
    <row r="181" spans="15:20" ht="61" thickBot="1" x14ac:dyDescent="0.25">
      <c r="O181" s="213"/>
      <c r="P181" s="119" t="s">
        <v>556</v>
      </c>
      <c r="Q181" s="120" t="s">
        <v>557</v>
      </c>
      <c r="R181" s="214" t="s">
        <v>558</v>
      </c>
      <c r="T181" s="1142"/>
    </row>
    <row r="182" spans="15:20" ht="20" x14ac:dyDescent="0.2">
      <c r="O182" s="212" t="s">
        <v>875</v>
      </c>
      <c r="P182" s="216">
        <f>'2. Solar CapEx'!J272</f>
        <v>3002729</v>
      </c>
      <c r="Q182" s="216">
        <f>'2. Solar CapEx'!J272</f>
        <v>3002729</v>
      </c>
      <c r="R182" s="217">
        <f>'2. Solar CapEx'!J272</f>
        <v>3002729</v>
      </c>
      <c r="T182" s="1143"/>
    </row>
    <row r="183" spans="15:20" ht="20" x14ac:dyDescent="0.2">
      <c r="O183" s="215" t="s">
        <v>104</v>
      </c>
      <c r="P183" s="218">
        <f>'2. Solar Installation'!K48+'2. Solar Installation'!F87</f>
        <v>18615.628333333334</v>
      </c>
      <c r="Q183" s="218">
        <f>'2. Solar Installation'!T48+'2. Solar Installation'!O87</f>
        <v>38009.762333333332</v>
      </c>
      <c r="R183" s="219">
        <f>'2. Solar Installation'!AC48+'2. Solar Installation'!X87</f>
        <v>38814.342166666662</v>
      </c>
    </row>
    <row r="184" spans="15:20" ht="21" thickBot="1" x14ac:dyDescent="0.25">
      <c r="O184" s="208" t="s">
        <v>877</v>
      </c>
      <c r="P184" s="220">
        <f>'2. Solar O&amp;M'!E66</f>
        <v>98816.828000000009</v>
      </c>
      <c r="Q184" s="220">
        <f>'2. Solar O&amp;M'!E67</f>
        <v>155433.74</v>
      </c>
      <c r="R184" s="221">
        <f>'2. Solar O&amp;M'!E68</f>
        <v>133252.85290370366</v>
      </c>
    </row>
    <row r="200" spans="15:20" ht="16" thickBot="1" x14ac:dyDescent="0.25"/>
    <row r="201" spans="15:20" ht="21" x14ac:dyDescent="0.2">
      <c r="O201" s="1133" t="s">
        <v>895</v>
      </c>
      <c r="P201" s="1134"/>
      <c r="Q201" s="1134"/>
      <c r="R201" s="1135"/>
    </row>
    <row r="202" spans="15:20" ht="21" x14ac:dyDescent="0.2">
      <c r="O202" s="1144" t="s">
        <v>876</v>
      </c>
      <c r="P202" s="1145"/>
      <c r="Q202" s="1145"/>
      <c r="R202" s="1140"/>
    </row>
    <row r="203" spans="15:20" ht="61" thickBot="1" x14ac:dyDescent="0.25">
      <c r="O203" s="213"/>
      <c r="P203" s="119" t="s">
        <v>556</v>
      </c>
      <c r="Q203" s="120" t="s">
        <v>557</v>
      </c>
      <c r="R203" s="214" t="s">
        <v>558</v>
      </c>
      <c r="T203" s="1141" t="s">
        <v>977</v>
      </c>
    </row>
    <row r="204" spans="15:20" ht="20" x14ac:dyDescent="0.2">
      <c r="O204" s="212" t="s">
        <v>875</v>
      </c>
      <c r="P204" s="216">
        <f>'3. Battery CapEx'!M260</f>
        <v>2954784</v>
      </c>
      <c r="Q204" s="216">
        <f>'3. Battery CapEx'!M260</f>
        <v>2954784</v>
      </c>
      <c r="R204" s="217">
        <f>'3. Battery CapEx'!M260</f>
        <v>2954784</v>
      </c>
      <c r="T204" s="1142"/>
    </row>
    <row r="205" spans="15:20" ht="20" x14ac:dyDescent="0.2">
      <c r="O205" s="215" t="s">
        <v>104</v>
      </c>
      <c r="P205" s="218">
        <f>'3. Battery Installation'!K51+'3. Battery Installation'!F91</f>
        <v>13479.013333333334</v>
      </c>
      <c r="Q205" s="218">
        <f>'3. Battery Installation'!T51+'3. Battery Installation'!O91</f>
        <v>19556.12733333333</v>
      </c>
      <c r="R205" s="219">
        <f>'3. Battery Installation'!AC51+'3. Battery Installation'!X91</f>
        <v>42569.721333333327</v>
      </c>
      <c r="T205" s="1143"/>
    </row>
    <row r="206" spans="15:20" ht="21" thickBot="1" x14ac:dyDescent="0.25">
      <c r="O206" s="208" t="s">
        <v>877</v>
      </c>
      <c r="P206" s="220">
        <f>'3. Battery O&amp;M'!E64</f>
        <v>154959.75733333334</v>
      </c>
      <c r="Q206" s="220">
        <f>'3. Battery O&amp;M'!E65</f>
        <v>239885.12533333333</v>
      </c>
      <c r="R206" s="221">
        <f>'3. Battery O&amp;M'!E66</f>
        <v>213360.52743703697</v>
      </c>
    </row>
    <row r="224" ht="16" thickBot="1" x14ac:dyDescent="0.25"/>
    <row r="225" spans="15:20" ht="21" x14ac:dyDescent="0.2">
      <c r="O225" s="1133" t="s">
        <v>996</v>
      </c>
      <c r="P225" s="1134"/>
      <c r="Q225" s="1134"/>
      <c r="R225" s="1135"/>
    </row>
    <row r="226" spans="15:20" ht="21" x14ac:dyDescent="0.2">
      <c r="O226" s="1144" t="s">
        <v>876</v>
      </c>
      <c r="P226" s="1145"/>
      <c r="Q226" s="1145"/>
      <c r="R226" s="1140"/>
    </row>
    <row r="227" spans="15:20" ht="21" thickBot="1" x14ac:dyDescent="0.25">
      <c r="O227" s="213"/>
      <c r="P227" s="119" t="s">
        <v>72</v>
      </c>
      <c r="Q227" s="120" t="s">
        <v>168</v>
      </c>
      <c r="R227" s="214" t="s">
        <v>180</v>
      </c>
      <c r="T227" s="1141" t="s">
        <v>978</v>
      </c>
    </row>
    <row r="228" spans="15:20" ht="40" x14ac:dyDescent="0.2">
      <c r="O228" s="691" t="s">
        <v>888</v>
      </c>
      <c r="P228" s="216">
        <f>'1. MADWEC CapEx'!J349</f>
        <v>37946.61</v>
      </c>
      <c r="Q228" s="216">
        <f>'2. Solar CapEx'!L263</f>
        <v>120621</v>
      </c>
      <c r="R228" s="217">
        <f>'3. Battery CapEx'!K257</f>
        <v>113476</v>
      </c>
      <c r="T228" s="1142"/>
    </row>
    <row r="229" spans="15:20" ht="20" x14ac:dyDescent="0.2">
      <c r="O229" s="692" t="s">
        <v>994</v>
      </c>
      <c r="P229" s="230">
        <f>'1. MADWEC CapEx'!M372</f>
        <v>1267959</v>
      </c>
      <c r="Q229" s="230">
        <f>'2. Solar CapEx'!M279</f>
        <v>1267959</v>
      </c>
      <c r="R229" s="231">
        <f>'3. Battery CapEx'!M268</f>
        <v>1267959</v>
      </c>
      <c r="T229" s="1143"/>
    </row>
    <row r="230" spans="15:20" ht="20" x14ac:dyDescent="0.2">
      <c r="O230" s="693" t="s">
        <v>995</v>
      </c>
      <c r="P230" s="218">
        <f>'1. MADWEC CapEx'!J363</f>
        <v>2880480</v>
      </c>
      <c r="Q230" s="218">
        <f>'2. Solar CapEx'!J270</f>
        <v>2882108</v>
      </c>
      <c r="R230" s="219">
        <f>'3. Battery CapEx'!K258</f>
        <v>2882108</v>
      </c>
    </row>
    <row r="231" spans="15:20" ht="20" x14ac:dyDescent="0.2">
      <c r="O231" s="693" t="s">
        <v>885</v>
      </c>
      <c r="P231" s="694">
        <f>'1. MADWEC CapEx'!J364</f>
        <v>0</v>
      </c>
      <c r="Q231" s="694">
        <f>'2. Solar CapEx'!J271</f>
        <v>0</v>
      </c>
      <c r="R231" s="695">
        <f>'3. Battery CapEx'!K259</f>
        <v>0</v>
      </c>
    </row>
    <row r="232" spans="15:20" ht="41" thickBot="1" x14ac:dyDescent="0.3">
      <c r="O232" s="696" t="s">
        <v>993</v>
      </c>
      <c r="P232" s="697">
        <f>AVERAGE('1. MADWEC Installation'!E108,'1. MADWEC Installation'!E109,'1. MADWEC Installation'!E110)</f>
        <v>27163.611055555553</v>
      </c>
      <c r="Q232" s="697">
        <f>AVERAGE('2. Solar Installation'!E100,'2. Solar Installation'!E101,'2. Solar Installation'!E102)</f>
        <v>26801.230944444444</v>
      </c>
      <c r="R232" s="197">
        <f>AVERAGE('3. Battery Installation'!E102,'3. Battery Installation'!E103,'3. Battery Installation'!E104)</f>
        <v>18075.94733333333</v>
      </c>
    </row>
    <row r="240" spans="15:20" x14ac:dyDescent="0.2">
      <c r="P240" s="224"/>
    </row>
    <row r="242" spans="15:20" ht="43" customHeight="1" x14ac:dyDescent="0.2"/>
    <row r="249" spans="15:20" ht="16" thickBot="1" x14ac:dyDescent="0.25"/>
    <row r="250" spans="15:20" ht="21" x14ac:dyDescent="0.2">
      <c r="O250" s="1133" t="s">
        <v>887</v>
      </c>
      <c r="P250" s="1134"/>
      <c r="Q250" s="1134"/>
      <c r="R250" s="1135"/>
    </row>
    <row r="251" spans="15:20" ht="21" x14ac:dyDescent="0.2">
      <c r="O251" s="1144" t="s">
        <v>876</v>
      </c>
      <c r="P251" s="1145"/>
      <c r="Q251" s="1145"/>
      <c r="R251" s="1140"/>
    </row>
    <row r="252" spans="15:20" ht="21" thickBot="1" x14ac:dyDescent="0.25">
      <c r="O252" s="213"/>
      <c r="P252" s="119" t="s">
        <v>72</v>
      </c>
      <c r="Q252" s="120" t="s">
        <v>168</v>
      </c>
      <c r="R252" s="214" t="s">
        <v>180</v>
      </c>
      <c r="T252" s="1141" t="s">
        <v>978</v>
      </c>
    </row>
    <row r="253" spans="15:20" ht="40" x14ac:dyDescent="0.2">
      <c r="O253" s="691" t="s">
        <v>888</v>
      </c>
      <c r="P253" s="216">
        <f>'1. MADWEC CapEx'!J349</f>
        <v>37946.61</v>
      </c>
      <c r="Q253" s="216">
        <f>'2. Solar CapEx'!L263</f>
        <v>120621</v>
      </c>
      <c r="R253" s="217">
        <f>'3. Battery CapEx'!M257</f>
        <v>72676</v>
      </c>
      <c r="T253" s="1142"/>
    </row>
    <row r="254" spans="15:20" ht="20" x14ac:dyDescent="0.2">
      <c r="O254" s="692" t="s">
        <v>886</v>
      </c>
      <c r="P254" s="230">
        <f>'1. MADWEC CapEx'!M388</f>
        <v>465115</v>
      </c>
      <c r="Q254" s="230">
        <f>'2. Solar CapEx'!M295</f>
        <v>465115</v>
      </c>
      <c r="R254" s="231">
        <f>'3. Battery CapEx'!M284</f>
        <v>465115</v>
      </c>
      <c r="T254" s="1143"/>
    </row>
    <row r="255" spans="15:20" ht="20" x14ac:dyDescent="0.2">
      <c r="O255" s="693" t="s">
        <v>527</v>
      </c>
      <c r="P255" s="218">
        <f>'1. MADWEC CapEx'!J363</f>
        <v>2880480</v>
      </c>
      <c r="Q255" s="218">
        <f>'2. Solar CapEx'!J270</f>
        <v>2882108</v>
      </c>
      <c r="R255" s="219">
        <f>'3. Battery CapEx'!M258</f>
        <v>2882108</v>
      </c>
    </row>
    <row r="256" spans="15:20" ht="20" x14ac:dyDescent="0.2">
      <c r="O256" s="693" t="s">
        <v>885</v>
      </c>
      <c r="P256" s="694">
        <f>'1. MADWEC CapEx'!J364</f>
        <v>0</v>
      </c>
      <c r="Q256" s="694">
        <f>'2. Solar CapEx'!J271</f>
        <v>0</v>
      </c>
      <c r="R256" s="695">
        <f>'3. Battery CapEx'!M259</f>
        <v>0</v>
      </c>
    </row>
    <row r="257" spans="15:18" ht="41" thickBot="1" x14ac:dyDescent="0.3">
      <c r="O257" s="696" t="s">
        <v>993</v>
      </c>
      <c r="P257" s="697">
        <f>AVERAGE('1. MADWEC Installation'!E105,'1. MADWEC Installation'!E106,'1. MADWEC Installation'!E107)</f>
        <v>27163.611055555553</v>
      </c>
      <c r="Q257" s="697">
        <f>AVERAGE('2. Solar Installation'!E97,'2. Solar Installation'!E98,'2. Solar Installation'!E99)</f>
        <v>26801.230944444444</v>
      </c>
      <c r="R257" s="197">
        <f>AVERAGE('3. Battery Installation'!E99,'3. Battery Installation'!E100,'3. Battery Installation'!E101)</f>
        <v>18075.94733333333</v>
      </c>
    </row>
    <row r="265" spans="15:18" ht="46" customHeight="1" x14ac:dyDescent="0.2"/>
  </sheetData>
  <mergeCells count="37">
    <mergeCell ref="T180:T182"/>
    <mergeCell ref="T162:T164"/>
    <mergeCell ref="T203:T205"/>
    <mergeCell ref="T227:T229"/>
    <mergeCell ref="T252:T254"/>
    <mergeCell ref="M112:P112"/>
    <mergeCell ref="M113:P113"/>
    <mergeCell ref="O225:R225"/>
    <mergeCell ref="O226:R226"/>
    <mergeCell ref="O250:R250"/>
    <mergeCell ref="M133:P133"/>
    <mergeCell ref="M134:P134"/>
    <mergeCell ref="R117:R118"/>
    <mergeCell ref="R137:R138"/>
    <mergeCell ref="O251:R251"/>
    <mergeCell ref="O160:R160"/>
    <mergeCell ref="O179:R179"/>
    <mergeCell ref="O180:R180"/>
    <mergeCell ref="O201:R201"/>
    <mergeCell ref="O202:R202"/>
    <mergeCell ref="O161:R161"/>
    <mergeCell ref="M6:P6"/>
    <mergeCell ref="T71:U71"/>
    <mergeCell ref="T72:U72"/>
    <mergeCell ref="M97:P97"/>
    <mergeCell ref="M98:P98"/>
    <mergeCell ref="M68:N68"/>
    <mergeCell ref="M69:N69"/>
    <mergeCell ref="M7:P7"/>
    <mergeCell ref="M46:P46"/>
    <mergeCell ref="M47:P47"/>
    <mergeCell ref="M86:P86"/>
    <mergeCell ref="M87:P87"/>
    <mergeCell ref="R9:R11"/>
    <mergeCell ref="M27:P27"/>
    <mergeCell ref="M28:P28"/>
    <mergeCell ref="R30:R3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73F37AE5C5814CBF79E7DE87358B25" ma:contentTypeVersion="16" ma:contentTypeDescription="Create a new document." ma:contentTypeScope="" ma:versionID="e21603a24b2313da565942e99b7fb14f">
  <xsd:schema xmlns:xsd="http://www.w3.org/2001/XMLSchema" xmlns:xs="http://www.w3.org/2001/XMLSchema" xmlns:p="http://schemas.microsoft.com/office/2006/metadata/properties" xmlns:ns2="2b108380-a28b-4f6e-9936-d7a327964907" xmlns:ns3="058364b6-5e7a-49e1-a3c6-d42d52a4e2b5" targetNamespace="http://schemas.microsoft.com/office/2006/metadata/properties" ma:root="true" ma:fieldsID="7f5d99a1f17585ed3df578bef2fe5907" ns2:_="" ns3:_="">
    <xsd:import namespace="2b108380-a28b-4f6e-9936-d7a327964907"/>
    <xsd:import namespace="058364b6-5e7a-49e1-a3c6-d42d52a4e2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08380-a28b-4f6e-9936-d7a3279649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8364b6-5e7a-49e1-a3c6-d42d52a4e2b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aa0bf32-4a7e-4d6b-a9d1-972e62c60426}" ma:internalName="TaxCatchAll" ma:showField="CatchAllData" ma:web="058364b6-5e7a-49e1-a3c6-d42d52a4e2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8364b6-5e7a-49e1-a3c6-d42d52a4e2b5" xsi:nil="true"/>
    <lcf76f155ced4ddcb4097134ff3c332f xmlns="2b108380-a28b-4f6e-9936-d7a327964907">
      <Terms xmlns="http://schemas.microsoft.com/office/infopath/2007/PartnerControls"/>
    </lcf76f155ced4ddcb4097134ff3c332f>
    <Notes xmlns="2b108380-a28b-4f6e-9936-d7a327964907" xsi:nil="true"/>
  </documentManagement>
</p:properties>
</file>

<file path=customXml/itemProps1.xml><?xml version="1.0" encoding="utf-8"?>
<ds:datastoreItem xmlns:ds="http://schemas.openxmlformats.org/officeDocument/2006/customXml" ds:itemID="{EFC74BEE-C1DF-4110-8BBB-2B8F8DC01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08380-a28b-4f6e-9936-d7a327964907"/>
    <ds:schemaRef ds:uri="058364b6-5e7a-49e1-a3c6-d42d52a4e2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19CAD7-748D-4E54-911D-621A87C3FDE3}">
  <ds:schemaRefs>
    <ds:schemaRef ds:uri="http://schemas.microsoft.com/sharepoint/v3/contenttype/forms"/>
  </ds:schemaRefs>
</ds:datastoreItem>
</file>

<file path=customXml/itemProps3.xml><?xml version="1.0" encoding="utf-8"?>
<ds:datastoreItem xmlns:ds="http://schemas.openxmlformats.org/officeDocument/2006/customXml" ds:itemID="{5AE4E030-E4EE-4A8D-BCFB-8EB4AE047AA0}">
  <ds:schemaRefs>
    <ds:schemaRef ds:uri="http://schemas.microsoft.com/office/2006/metadata/properties"/>
    <ds:schemaRef ds:uri="http://purl.org/dc/dcmitype/"/>
    <ds:schemaRef ds:uri="http://purl.org/dc/terms/"/>
    <ds:schemaRef ds:uri="2b108380-a28b-4f6e-9936-d7a327964907"/>
    <ds:schemaRef ds:uri="http://schemas.microsoft.com/office/2006/documentManagement/types"/>
    <ds:schemaRef ds:uri="http://schemas.openxmlformats.org/package/2006/metadata/core-properties"/>
    <ds:schemaRef ds:uri="http://schemas.microsoft.com/office/infopath/2007/PartnerControls"/>
    <ds:schemaRef ds:uri="058364b6-5e7a-49e1-a3c6-d42d52a4e2b5"/>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README</vt:lpstr>
      <vt:lpstr>1. MADWEC CapEx</vt:lpstr>
      <vt:lpstr>1. MADWEC Installation</vt:lpstr>
      <vt:lpstr>1. MADWEC O&amp;M</vt:lpstr>
      <vt:lpstr>1. MADWEC Power</vt:lpstr>
      <vt:lpstr>2. Solar CapEx</vt:lpstr>
      <vt:lpstr>2. Solar Installation</vt:lpstr>
      <vt:lpstr>2. Solar O&amp;M</vt:lpstr>
      <vt:lpstr>2. Solar Power</vt:lpstr>
      <vt:lpstr>3. Battery CapEx</vt:lpstr>
      <vt:lpstr>3. Battery Installation</vt:lpstr>
      <vt:lpstr>3. Battery O&amp;M</vt:lpstr>
      <vt:lpstr>3. Battery Power</vt:lpstr>
      <vt:lpstr>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Ortega, Tina</cp:lastModifiedBy>
  <cp:revision/>
  <dcterms:created xsi:type="dcterms:W3CDTF">2023-04-03T15:16:04Z</dcterms:created>
  <dcterms:modified xsi:type="dcterms:W3CDTF">2024-08-15T20:17:01Z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0x0101007973F37AE5C5814CBF79E7DE87358B25</vt:lpwstr>
  </property>
  <property fmtid="{D5CDD505-2E9C-101B-9397-08002B2CF9AE}" pid="3" name="MSIP_Label_95965d95-ecc0-4720-b759-1f33c42ed7da_Enabled">
    <vt:lpwstr>true</vt:lpwstr>
  </property>
  <property fmtid="{D5CDD505-2E9C-101B-9397-08002B2CF9AE}" pid="4" name="MSIP_Label_95965d95-ecc0-4720-b759-1f33c42ed7da_SetDate">
    <vt:lpwstr>2023-10-03T16:31:28Z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482aa8cf-07f6-4fef-bedc-879efb7a249b</vt:lpwstr>
  </property>
  <property fmtid="{D5CDD505-2E9C-101B-9397-08002B2CF9AE}" pid="9" name="MSIP_Label_95965d95-ecc0-4720-b759-1f33c42ed7da_ContentBits">
    <vt:lpwstr>0</vt:lpwstr>
  </property>
  <property fmtid="{D5CDD505-2E9C-101B-9397-08002B2CF9AE}" pid="10" name="MediaServiceImageTags">
    <vt:lpwstr/>
  </property>
</Properties>
</file>