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Data\Project - Teamer AWS\Final Version\Review\Submitted\"/>
    </mc:Choice>
  </mc:AlternateContent>
  <xr:revisionPtr revIDLastSave="0" documentId="13_ncr:1_{06BCC1F3-05E7-4FD5-9375-E9272F98F59A}" xr6:coauthVersionLast="47" xr6:coauthVersionMax="47" xr10:uidLastSave="{00000000-0000-0000-0000-000000000000}"/>
  <bookViews>
    <workbookView xWindow="-108" yWindow="-108" windowWidth="23256" windowHeight="13896" activeTab="1" xr2:uid="{00000000-000D-0000-FFFF-FFFF00000000}"/>
  </bookViews>
  <sheets>
    <sheet name="Readme" sheetId="27" r:id="rId1"/>
    <sheet name="IO" sheetId="1" r:id="rId2"/>
    <sheet name="MC_Simu" sheetId="29" state="hidden" r:id="rId3"/>
    <sheet name="Cost Funs" sheetId="36" r:id="rId4"/>
    <sheet name="Compute Performance" sheetId="19" r:id="rId5"/>
    <sheet name="Performance Matrices" sheetId="20" r:id="rId6"/>
    <sheet name="Scatter Diagrams" sheetId="37" r:id="rId7"/>
  </sheets>
  <definedNames>
    <definedName name="AnnArrayOMCost" localSheetId="3">#REF!</definedName>
    <definedName name="AnnArrayOMCost" localSheetId="0">#REF!</definedName>
    <definedName name="AnnArrayOMCost" localSheetId="6">#REF!</definedName>
    <definedName name="AnnArrayOMCost">#REF!</definedName>
    <definedName name="AnnArrayOutput" localSheetId="0">#REF!</definedName>
    <definedName name="AnnArrayOutput">#REF!</definedName>
    <definedName name="ArrayInstalledCost" localSheetId="0">#REF!</definedName>
    <definedName name="ArrayInstalledCost">#REF!</definedName>
    <definedName name="Avail">#REF!</definedName>
    <definedName name="Availability" localSheetId="3">#REF!</definedName>
    <definedName name="Availability" localSheetId="0">#REF!</definedName>
    <definedName name="Availability" localSheetId="6">#REF!</definedName>
    <definedName name="Availability">#REF!</definedName>
    <definedName name="AvgCurrentSpeedSurface" localSheetId="3">#REF!</definedName>
    <definedName name="AvgCurrentSpeedSurface" localSheetId="6">#REF!</definedName>
    <definedName name="AvgCurrentSpeedSurface">#REF!</definedName>
    <definedName name="AvgPowerFluxSurface">#REF!</definedName>
    <definedName name="AvgProgRatio">#REF!</definedName>
    <definedName name="CableLen">#REF!</definedName>
    <definedName name="Capex" localSheetId="3">#REF!</definedName>
    <definedName name="Capex" localSheetId="0">#REF!</definedName>
    <definedName name="Capex" localSheetId="6">#REF!</definedName>
    <definedName name="Capex">#REF!</definedName>
    <definedName name="CapFactor" localSheetId="3">#REF!</definedName>
    <definedName name="CapFactor" localSheetId="6">#REF!</definedName>
    <definedName name="CapFactor">#REF!</definedName>
    <definedName name="Category">#REF!</definedName>
    <definedName name="ce">#REF!</definedName>
    <definedName name="Clearance">#REF!</definedName>
    <definedName name="COEReal">#REF!</definedName>
    <definedName name="CRF">#REF!</definedName>
    <definedName name="CurrentSenario">#REF!</definedName>
    <definedName name="CutinSpeed">#REF!</definedName>
    <definedName name="de" localSheetId="0">#REF!</definedName>
    <definedName name="de">#REF!</definedName>
    <definedName name="DeviceOrientation" localSheetId="3">#REF!</definedName>
    <definedName name="DeviceOrientation" localSheetId="6">#REF!</definedName>
    <definedName name="DeviceOrientation">#REF!</definedName>
    <definedName name="dsc">#REF!</definedName>
    <definedName name="DuctClearance">#REF!</definedName>
    <definedName name="efff">#REF!</definedName>
    <definedName name="erf">#REF!</definedName>
    <definedName name="ertdg">#REF!</definedName>
    <definedName name="ertu">#REF!</definedName>
    <definedName name="fdgh">#REF!</definedName>
    <definedName name="fgb">#REF!</definedName>
    <definedName name="fsdg">#REF!</definedName>
    <definedName name="gfdh">#REF!</definedName>
    <definedName name="Grid">#REF!</definedName>
    <definedName name="hdfgh">#REF!</definedName>
    <definedName name="hdhydy">#REF!</definedName>
    <definedName name="HubHeight">#REF!</definedName>
    <definedName name="Impact">#REF!</definedName>
    <definedName name="IRR" localSheetId="0">#REF!</definedName>
    <definedName name="IRR" localSheetId="6">#REF!</definedName>
    <definedName name="IRR">#REF!</definedName>
    <definedName name="iuk">#REF!</definedName>
    <definedName name="jetdy">#REF!</definedName>
    <definedName name="jm">#REF!</definedName>
    <definedName name="JnctBox">#REF!</definedName>
    <definedName name="jutf" localSheetId="0">#REF!</definedName>
    <definedName name="jutf">#REF!</definedName>
    <definedName name="Likelihood">#REF!</definedName>
    <definedName name="MonoSep">#REF!</definedName>
    <definedName name="mytu" localSheetId="0">#REF!</definedName>
    <definedName name="mytu">#REF!</definedName>
    <definedName name="nomdisc" localSheetId="3">#REF!</definedName>
    <definedName name="nomdisc" localSheetId="6">#REF!</definedName>
    <definedName name="nomdisc">#REF!</definedName>
    <definedName name="Nominal_CR">#REF!</definedName>
    <definedName name="NumTurbines" localSheetId="3">#REF!</definedName>
    <definedName name="NumTurbines" localSheetId="0">#REF!</definedName>
    <definedName name="NumTurbines" localSheetId="6">#REF!</definedName>
    <definedName name="NumTurbines">#REF!</definedName>
    <definedName name="ProgRatio" localSheetId="3">#REF!</definedName>
    <definedName name="ProgRatio" localSheetId="6">#REF!</definedName>
    <definedName name="ProgRatio">#REF!</definedName>
    <definedName name="qq">#REF!</definedName>
    <definedName name="RatedSpeed">#REF!</definedName>
    <definedName name="Rating">#REF!</definedName>
    <definedName name="Real_CR">#REF!</definedName>
    <definedName name="realdisc" localSheetId="3">#REF!</definedName>
    <definedName name="realdisc" localSheetId="0">#REF!</definedName>
    <definedName name="realdisc" localSheetId="6">#REF!</definedName>
    <definedName name="realdisc">#REF!</definedName>
    <definedName name="RefCurrency" localSheetId="3">#REF!</definedName>
    <definedName name="RefCurrency" localSheetId="6">#REF!</definedName>
    <definedName name="RefCurrency">#REF!</definedName>
    <definedName name="RefYear">#REF!</definedName>
    <definedName name="Response">#REF!</definedName>
    <definedName name="rho">#REF!</definedName>
    <definedName name="RiskScore">#REF!</definedName>
    <definedName name="RotorD" localSheetId="0">#REF!</definedName>
    <definedName name="RotorD" localSheetId="6">#REF!</definedName>
    <definedName name="RotorD">#REF!</definedName>
    <definedName name="RotorEff">#REF!</definedName>
    <definedName name="rr" localSheetId="0">#REF!</definedName>
    <definedName name="rr">#REF!</definedName>
    <definedName name="rt" localSheetId="0">#REF!</definedName>
    <definedName name="rt">#REF!</definedName>
    <definedName name="S1_ValueName1">#REF!</definedName>
    <definedName name="Senarios">#REF!</definedName>
    <definedName name="ShoreProtect">#REF!</definedName>
    <definedName name="Site_Selection">#REF!</definedName>
    <definedName name="Site_Spectral_Parameter">#REF!</definedName>
    <definedName name="solver_cvg" localSheetId="4" hidden="1">0.0001</definedName>
    <definedName name="solver_drv" localSheetId="4" hidden="1">1</definedName>
    <definedName name="solver_est" localSheetId="4" hidden="1">1</definedName>
    <definedName name="solver_itr" localSheetId="4" hidden="1">100</definedName>
    <definedName name="solver_lhs1" localSheetId="4" hidden="1">'Compute Performance'!#REF!</definedName>
    <definedName name="solver_lhs2" localSheetId="4" hidden="1">'Compute Performance'!#REF!</definedName>
    <definedName name="solver_lin" localSheetId="4" hidden="1">2</definedName>
    <definedName name="solver_neg" localSheetId="4" hidden="1">2</definedName>
    <definedName name="solver_num" localSheetId="4" hidden="1">0</definedName>
    <definedName name="solver_nwt" localSheetId="4" hidden="1">1</definedName>
    <definedName name="solver_pre" localSheetId="4" hidden="1">0.001</definedName>
    <definedName name="solver_rel1" localSheetId="4" hidden="1">1</definedName>
    <definedName name="solver_rel2" localSheetId="4" hidden="1">3</definedName>
    <definedName name="solver_rhs1" localSheetId="4" hidden="1">360</definedName>
    <definedName name="solver_rhs2" localSheetId="4" hidden="1">0</definedName>
    <definedName name="solver_scl" localSheetId="4" hidden="1">2</definedName>
    <definedName name="solver_sho" localSheetId="4" hidden="1">2</definedName>
    <definedName name="solver_tim" localSheetId="4" hidden="1">100</definedName>
    <definedName name="solver_tol" localSheetId="4" hidden="1">0.05</definedName>
    <definedName name="solver_typ" localSheetId="4" hidden="1">1</definedName>
    <definedName name="solver_val" localSheetId="4" hidden="1">0</definedName>
    <definedName name="ss" localSheetId="0">#REF!</definedName>
    <definedName name="ss">#REF!</definedName>
    <definedName name="SVTable1">#REF!</definedName>
    <definedName name="tets">#REF!</definedName>
    <definedName name="TranUpgrade">#REF!</definedName>
    <definedName name="TrenchDist">#REF!</definedName>
    <definedName name="tt" localSheetId="0">#REF!</definedName>
    <definedName name="tt">#REF!</definedName>
    <definedName name="ttt" localSheetId="0">#REF!</definedName>
    <definedName name="ttt">#REF!</definedName>
    <definedName name="TurbineCapital">#REF!</definedName>
    <definedName name="VelFactor">#REF!</definedName>
    <definedName name="vnbvn">#REF!</definedName>
    <definedName name="WaterDepth">#REF!</definedName>
    <definedName name="ygku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8" i="19" l="1"/>
  <c r="G7" i="19"/>
  <c r="X13" i="37" l="1"/>
  <c r="X14" i="37"/>
  <c r="D41" i="36" l="1"/>
  <c r="D40" i="36"/>
  <c r="H38" i="36"/>
  <c r="H37" i="36"/>
  <c r="H36" i="36"/>
  <c r="H35" i="36"/>
  <c r="H34" i="36"/>
  <c r="D44" i="36" l="1"/>
  <c r="F178" i="36"/>
  <c r="D48" i="36"/>
  <c r="G12" i="19" l="1"/>
  <c r="E157" i="19"/>
  <c r="C1" i="37" l="1"/>
  <c r="D9" i="37" s="1"/>
  <c r="E30" i="19" s="1"/>
  <c r="T164" i="37" l="1"/>
  <c r="D164" i="37"/>
  <c r="T163" i="37"/>
  <c r="T162" i="37"/>
  <c r="T161" i="37"/>
  <c r="T160" i="37"/>
  <c r="T159" i="37"/>
  <c r="T158" i="37"/>
  <c r="T157" i="37"/>
  <c r="T156" i="37"/>
  <c r="T155" i="37"/>
  <c r="T154" i="37"/>
  <c r="T153" i="37"/>
  <c r="T152" i="37"/>
  <c r="T151" i="37"/>
  <c r="T150" i="37"/>
  <c r="T149" i="37"/>
  <c r="T148" i="37"/>
  <c r="T147" i="37"/>
  <c r="T146" i="37"/>
  <c r="T145" i="37"/>
  <c r="T144" i="37"/>
  <c r="T136" i="37"/>
  <c r="T135" i="37"/>
  <c r="T134" i="37"/>
  <c r="T133" i="37"/>
  <c r="T132" i="37"/>
  <c r="T131" i="37"/>
  <c r="T130" i="37"/>
  <c r="T129" i="37"/>
  <c r="T128" i="37"/>
  <c r="T127" i="37"/>
  <c r="T126" i="37"/>
  <c r="T125" i="37"/>
  <c r="T124" i="37"/>
  <c r="T123" i="37"/>
  <c r="T122" i="37"/>
  <c r="D121" i="37"/>
  <c r="T121" i="37" s="1"/>
  <c r="D120" i="37"/>
  <c r="T120" i="37" s="1"/>
  <c r="D119" i="37"/>
  <c r="T119" i="37" s="1"/>
  <c r="D118" i="37"/>
  <c r="T118" i="37" s="1"/>
  <c r="D117" i="37"/>
  <c r="T109" i="37"/>
  <c r="T108" i="37"/>
  <c r="T107" i="37"/>
  <c r="T106" i="37"/>
  <c r="T105" i="37"/>
  <c r="T104" i="37"/>
  <c r="T103" i="37"/>
  <c r="T102" i="37"/>
  <c r="T101" i="37"/>
  <c r="T100" i="37"/>
  <c r="D110" i="37"/>
  <c r="T90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T82" i="37"/>
  <c r="T81" i="37"/>
  <c r="T80" i="37"/>
  <c r="T79" i="37"/>
  <c r="T78" i="37"/>
  <c r="T77" i="37"/>
  <c r="T76" i="37"/>
  <c r="T75" i="37"/>
  <c r="T74" i="37"/>
  <c r="T73" i="37"/>
  <c r="T72" i="37"/>
  <c r="T71" i="37"/>
  <c r="T70" i="37"/>
  <c r="T69" i="37"/>
  <c r="T68" i="37"/>
  <c r="T67" i="37"/>
  <c r="T66" i="37"/>
  <c r="T65" i="37"/>
  <c r="T64" i="37"/>
  <c r="T63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T55" i="37"/>
  <c r="T54" i="37"/>
  <c r="T53" i="37"/>
  <c r="T52" i="37"/>
  <c r="T51" i="37"/>
  <c r="T50" i="37"/>
  <c r="T49" i="37"/>
  <c r="T48" i="37"/>
  <c r="T47" i="37"/>
  <c r="T46" i="37"/>
  <c r="T45" i="37"/>
  <c r="T44" i="37"/>
  <c r="T43" i="37"/>
  <c r="T42" i="37"/>
  <c r="T41" i="37"/>
  <c r="T40" i="37"/>
  <c r="T39" i="37"/>
  <c r="T38" i="37"/>
  <c r="T37" i="37"/>
  <c r="T36" i="37"/>
  <c r="K19" i="37"/>
  <c r="L40" i="19" s="1"/>
  <c r="E153" i="36"/>
  <c r="E156" i="36" s="1"/>
  <c r="E64" i="1" s="1"/>
  <c r="E130" i="36"/>
  <c r="E70" i="36"/>
  <c r="E11" i="36"/>
  <c r="E129" i="36" s="1"/>
  <c r="E137" i="36" s="1"/>
  <c r="K66" i="29"/>
  <c r="K50" i="29"/>
  <c r="L50" i="29"/>
  <c r="K51" i="29"/>
  <c r="L51" i="29"/>
  <c r="K52" i="29"/>
  <c r="L52" i="29"/>
  <c r="K53" i="29"/>
  <c r="L53" i="29"/>
  <c r="K54" i="29"/>
  <c r="L54" i="29"/>
  <c r="K55" i="29"/>
  <c r="L55" i="29"/>
  <c r="K57" i="29"/>
  <c r="L57" i="29"/>
  <c r="K58" i="29"/>
  <c r="L58" i="29"/>
  <c r="L46" i="29"/>
  <c r="L47" i="29"/>
  <c r="L48" i="29"/>
  <c r="K47" i="29"/>
  <c r="K48" i="29"/>
  <c r="K46" i="29"/>
  <c r="J176" i="29"/>
  <c r="J82" i="29" s="1"/>
  <c r="L66" i="29"/>
  <c r="AN110" i="37" l="1"/>
  <c r="T91" i="37"/>
  <c r="T56" i="37"/>
  <c r="T93" i="37"/>
  <c r="T98" i="37"/>
  <c r="T94" i="37"/>
  <c r="O10" i="37"/>
  <c r="P31" i="19" s="1"/>
  <c r="S12" i="37"/>
  <c r="T33" i="19" s="1"/>
  <c r="D13" i="37"/>
  <c r="E34" i="19" s="1"/>
  <c r="R21" i="37"/>
  <c r="S42" i="19" s="1"/>
  <c r="D14" i="37"/>
  <c r="E35" i="19" s="1"/>
  <c r="E14" i="37"/>
  <c r="F35" i="19" s="1"/>
  <c r="F14" i="37"/>
  <c r="G35" i="19" s="1"/>
  <c r="O24" i="37"/>
  <c r="P45" i="19" s="1"/>
  <c r="P26" i="37"/>
  <c r="Q47" i="19" s="1"/>
  <c r="D16" i="37"/>
  <c r="E37" i="19" s="1"/>
  <c r="E16" i="37"/>
  <c r="F37" i="19" s="1"/>
  <c r="H27" i="37"/>
  <c r="I48" i="19" s="1"/>
  <c r="G21" i="37"/>
  <c r="H42" i="19" s="1"/>
  <c r="H21" i="37"/>
  <c r="I42" i="19" s="1"/>
  <c r="O21" i="37"/>
  <c r="P42" i="19" s="1"/>
  <c r="Q21" i="37"/>
  <c r="R42" i="19" s="1"/>
  <c r="E13" i="37"/>
  <c r="F34" i="19" s="1"/>
  <c r="F16" i="37"/>
  <c r="G37" i="19" s="1"/>
  <c r="I27" i="37"/>
  <c r="J48" i="19" s="1"/>
  <c r="N13" i="37"/>
  <c r="O34" i="19" s="1"/>
  <c r="Q15" i="37"/>
  <c r="R36" i="19" s="1"/>
  <c r="G16" i="37"/>
  <c r="H37" i="19" s="1"/>
  <c r="J27" i="37"/>
  <c r="K48" i="19" s="1"/>
  <c r="E21" i="37"/>
  <c r="F42" i="19" s="1"/>
  <c r="N10" i="37"/>
  <c r="O31" i="19" s="1"/>
  <c r="P21" i="37"/>
  <c r="Q42" i="19" s="1"/>
  <c r="S21" i="37"/>
  <c r="T42" i="19" s="1"/>
  <c r="N23" i="37"/>
  <c r="O44" i="19" s="1"/>
  <c r="P23" i="37"/>
  <c r="Q44" i="19" s="1"/>
  <c r="Q23" i="37"/>
  <c r="R44" i="19" s="1"/>
  <c r="S15" i="37"/>
  <c r="T36" i="19" s="1"/>
  <c r="Q26" i="37"/>
  <c r="R47" i="19" s="1"/>
  <c r="H16" i="37"/>
  <c r="I37" i="19" s="1"/>
  <c r="J19" i="37"/>
  <c r="K40" i="19" s="1"/>
  <c r="D25" i="37"/>
  <c r="E46" i="19" s="1"/>
  <c r="G19" i="37"/>
  <c r="H40" i="19" s="1"/>
  <c r="R12" i="37"/>
  <c r="S33" i="19" s="1"/>
  <c r="S24" i="37"/>
  <c r="T45" i="19" s="1"/>
  <c r="M18" i="37"/>
  <c r="N39" i="19" s="1"/>
  <c r="G11" i="37"/>
  <c r="H32" i="19" s="1"/>
  <c r="Q24" i="37"/>
  <c r="R45" i="19" s="1"/>
  <c r="G18" i="37"/>
  <c r="H39" i="19" s="1"/>
  <c r="E11" i="37"/>
  <c r="F32" i="19" s="1"/>
  <c r="P24" i="37"/>
  <c r="Q45" i="19" s="1"/>
  <c r="F18" i="37"/>
  <c r="G39" i="19" s="1"/>
  <c r="P10" i="37"/>
  <c r="Q31" i="19" s="1"/>
  <c r="I16" i="37"/>
  <c r="J37" i="19" s="1"/>
  <c r="R26" i="37"/>
  <c r="S47" i="19" s="1"/>
  <c r="I10" i="37"/>
  <c r="J31" i="19" s="1"/>
  <c r="E18" i="37"/>
  <c r="F39" i="19" s="1"/>
  <c r="S26" i="37"/>
  <c r="T47" i="19" s="1"/>
  <c r="L10" i="37"/>
  <c r="M31" i="19" s="1"/>
  <c r="H19" i="37"/>
  <c r="I40" i="19" s="1"/>
  <c r="E27" i="37"/>
  <c r="F48" i="19" s="1"/>
  <c r="M10" i="37"/>
  <c r="N31" i="19" s="1"/>
  <c r="I19" i="37"/>
  <c r="J40" i="19" s="1"/>
  <c r="F27" i="37"/>
  <c r="G48" i="19" s="1"/>
  <c r="J28" i="37"/>
  <c r="K49" i="19" s="1"/>
  <c r="G27" i="37"/>
  <c r="H48" i="19" s="1"/>
  <c r="D26" i="37"/>
  <c r="E47" i="19" s="1"/>
  <c r="R24" i="37"/>
  <c r="S45" i="19" s="1"/>
  <c r="O23" i="37"/>
  <c r="P44" i="19" s="1"/>
  <c r="L22" i="37"/>
  <c r="M43" i="19" s="1"/>
  <c r="I21" i="37"/>
  <c r="J42" i="19" s="1"/>
  <c r="F20" i="37"/>
  <c r="G41" i="19" s="1"/>
  <c r="Q17" i="37"/>
  <c r="R38" i="19" s="1"/>
  <c r="N16" i="37"/>
  <c r="O37" i="19" s="1"/>
  <c r="K15" i="37"/>
  <c r="L36" i="19" s="1"/>
  <c r="H14" i="37"/>
  <c r="I35" i="19" s="1"/>
  <c r="R28" i="37"/>
  <c r="S49" i="19" s="1"/>
  <c r="N27" i="37"/>
  <c r="O48" i="19" s="1"/>
  <c r="J26" i="37"/>
  <c r="K47" i="19" s="1"/>
  <c r="F25" i="37"/>
  <c r="G46" i="19" s="1"/>
  <c r="S23" i="37"/>
  <c r="T44" i="19" s="1"/>
  <c r="O22" i="37"/>
  <c r="P43" i="19" s="1"/>
  <c r="K21" i="37"/>
  <c r="L42" i="19" s="1"/>
  <c r="G20" i="37"/>
  <c r="H41" i="19" s="1"/>
  <c r="S18" i="37"/>
  <c r="T39" i="19" s="1"/>
  <c r="O17" i="37"/>
  <c r="P38" i="19" s="1"/>
  <c r="K16" i="37"/>
  <c r="L37" i="19" s="1"/>
  <c r="G15" i="37"/>
  <c r="H36" i="19" s="1"/>
  <c r="Q12" i="37"/>
  <c r="R33" i="19" s="1"/>
  <c r="N11" i="37"/>
  <c r="O32" i="19" s="1"/>
  <c r="K10" i="37"/>
  <c r="L31" i="19" s="1"/>
  <c r="H9" i="37"/>
  <c r="I30" i="19" s="1"/>
  <c r="Q28" i="37"/>
  <c r="R49" i="19" s="1"/>
  <c r="M27" i="37"/>
  <c r="N48" i="19" s="1"/>
  <c r="I26" i="37"/>
  <c r="J47" i="19" s="1"/>
  <c r="E25" i="37"/>
  <c r="R23" i="37"/>
  <c r="S44" i="19" s="1"/>
  <c r="N22" i="37"/>
  <c r="O43" i="19" s="1"/>
  <c r="J21" i="37"/>
  <c r="K42" i="19" s="1"/>
  <c r="E20" i="37"/>
  <c r="F41" i="19" s="1"/>
  <c r="R18" i="37"/>
  <c r="S39" i="19" s="1"/>
  <c r="N17" i="37"/>
  <c r="O38" i="19" s="1"/>
  <c r="J16" i="37"/>
  <c r="K37" i="19" s="1"/>
  <c r="F15" i="37"/>
  <c r="G36" i="19" s="1"/>
  <c r="S13" i="37"/>
  <c r="T34" i="19" s="1"/>
  <c r="P12" i="37"/>
  <c r="Q33" i="19" s="1"/>
  <c r="M11" i="37"/>
  <c r="N32" i="19" s="1"/>
  <c r="J10" i="37"/>
  <c r="K31" i="19" s="1"/>
  <c r="G9" i="37"/>
  <c r="H30" i="19" s="1"/>
  <c r="G28" i="37"/>
  <c r="H49" i="19" s="1"/>
  <c r="P25" i="37"/>
  <c r="Q46" i="19" s="1"/>
  <c r="L24" i="37"/>
  <c r="M45" i="19" s="1"/>
  <c r="H23" i="37"/>
  <c r="I44" i="19" s="1"/>
  <c r="D22" i="37"/>
  <c r="E43" i="19" s="1"/>
  <c r="Q20" i="37"/>
  <c r="R41" i="19" s="1"/>
  <c r="M19" i="37"/>
  <c r="N40" i="19" s="1"/>
  <c r="I18" i="37"/>
  <c r="J39" i="19" s="1"/>
  <c r="E17" i="37"/>
  <c r="F38" i="19" s="1"/>
  <c r="R15" i="37"/>
  <c r="S36" i="19" s="1"/>
  <c r="N14" i="37"/>
  <c r="O35" i="19" s="1"/>
  <c r="J13" i="37"/>
  <c r="G12" i="37"/>
  <c r="H33" i="19" s="1"/>
  <c r="D11" i="37"/>
  <c r="E32" i="19" s="1"/>
  <c r="R9" i="37"/>
  <c r="S30" i="19" s="1"/>
  <c r="L28" i="37"/>
  <c r="M49" i="19" s="1"/>
  <c r="D27" i="37"/>
  <c r="E48" i="19" s="1"/>
  <c r="M25" i="37"/>
  <c r="N46" i="19" s="1"/>
  <c r="F24" i="37"/>
  <c r="G45" i="19" s="1"/>
  <c r="P22" i="37"/>
  <c r="Q43" i="19" s="1"/>
  <c r="F21" i="37"/>
  <c r="G42" i="19" s="1"/>
  <c r="P19" i="37"/>
  <c r="Q40" i="19" s="1"/>
  <c r="H18" i="37"/>
  <c r="I39" i="19" s="1"/>
  <c r="R16" i="37"/>
  <c r="S37" i="19" s="1"/>
  <c r="J15" i="37"/>
  <c r="K36" i="19" s="1"/>
  <c r="R13" i="37"/>
  <c r="S34" i="19" s="1"/>
  <c r="L12" i="37"/>
  <c r="M33" i="19" s="1"/>
  <c r="F11" i="37"/>
  <c r="G32" i="19" s="1"/>
  <c r="P9" i="37"/>
  <c r="Q30" i="19" s="1"/>
  <c r="P27" i="37"/>
  <c r="Q48" i="19" s="1"/>
  <c r="F26" i="37"/>
  <c r="G47" i="19" s="1"/>
  <c r="N24" i="37"/>
  <c r="O45" i="19" s="1"/>
  <c r="E23" i="37"/>
  <c r="F44" i="19" s="1"/>
  <c r="N21" i="37"/>
  <c r="O42" i="19" s="1"/>
  <c r="L18" i="37"/>
  <c r="M39" i="19" s="1"/>
  <c r="L15" i="37"/>
  <c r="M36" i="19" s="1"/>
  <c r="Q13" i="37"/>
  <c r="R34" i="19" s="1"/>
  <c r="J12" i="37"/>
  <c r="K33" i="19" s="1"/>
  <c r="S10" i="37"/>
  <c r="T31" i="19" s="1"/>
  <c r="L9" i="37"/>
  <c r="M30" i="19" s="1"/>
  <c r="O27" i="37"/>
  <c r="P48" i="19" s="1"/>
  <c r="E26" i="37"/>
  <c r="F47" i="19" s="1"/>
  <c r="M24" i="37"/>
  <c r="N45" i="19" s="1"/>
  <c r="D23" i="37"/>
  <c r="E44" i="19" s="1"/>
  <c r="M21" i="37"/>
  <c r="N42" i="19" s="1"/>
  <c r="S19" i="37"/>
  <c r="T40" i="19" s="1"/>
  <c r="K18" i="37"/>
  <c r="L39" i="19" s="1"/>
  <c r="S16" i="37"/>
  <c r="T37" i="19" s="1"/>
  <c r="I15" i="37"/>
  <c r="J36" i="19" s="1"/>
  <c r="P13" i="37"/>
  <c r="Q34" i="19" s="1"/>
  <c r="I12" i="37"/>
  <c r="J33" i="19" s="1"/>
  <c r="R10" i="37"/>
  <c r="S31" i="19" s="1"/>
  <c r="K9" i="37"/>
  <c r="L30" i="19" s="1"/>
  <c r="L27" i="37"/>
  <c r="M48" i="19" s="1"/>
  <c r="K24" i="37"/>
  <c r="L45" i="19" s="1"/>
  <c r="L21" i="37"/>
  <c r="M42" i="19" s="1"/>
  <c r="R19" i="37"/>
  <c r="S40" i="19" s="1"/>
  <c r="J18" i="37"/>
  <c r="K39" i="19" s="1"/>
  <c r="Q16" i="37"/>
  <c r="R37" i="19" s="1"/>
  <c r="H15" i="37"/>
  <c r="I36" i="19" s="1"/>
  <c r="O13" i="37"/>
  <c r="P34" i="19" s="1"/>
  <c r="H12" i="37"/>
  <c r="I33" i="19" s="1"/>
  <c r="Q10" i="37"/>
  <c r="R31" i="19" s="1"/>
  <c r="J9" i="37"/>
  <c r="K30" i="19" s="1"/>
  <c r="E28" i="37"/>
  <c r="F49" i="19" s="1"/>
  <c r="K26" i="37"/>
  <c r="L47" i="19" s="1"/>
  <c r="J24" i="37"/>
  <c r="K45" i="19" s="1"/>
  <c r="M22" i="37"/>
  <c r="N43" i="19" s="1"/>
  <c r="R20" i="37"/>
  <c r="S41" i="19" s="1"/>
  <c r="F19" i="37"/>
  <c r="G40" i="19" s="1"/>
  <c r="I17" i="37"/>
  <c r="J38" i="19" s="1"/>
  <c r="N15" i="37"/>
  <c r="O36" i="19" s="1"/>
  <c r="M13" i="37"/>
  <c r="N34" i="19" s="1"/>
  <c r="S11" i="37"/>
  <c r="T32" i="19" s="1"/>
  <c r="D28" i="37"/>
  <c r="E49" i="19" s="1"/>
  <c r="H26" i="37"/>
  <c r="I47" i="19" s="1"/>
  <c r="I24" i="37"/>
  <c r="J45" i="19" s="1"/>
  <c r="K22" i="37"/>
  <c r="L43" i="19" s="1"/>
  <c r="P20" i="37"/>
  <c r="Q41" i="19" s="1"/>
  <c r="E19" i="37"/>
  <c r="F40" i="19" s="1"/>
  <c r="H17" i="37"/>
  <c r="I38" i="19" s="1"/>
  <c r="M15" i="37"/>
  <c r="N36" i="19" s="1"/>
  <c r="L13" i="37"/>
  <c r="M34" i="19" s="1"/>
  <c r="R11" i="37"/>
  <c r="S32" i="19" s="1"/>
  <c r="F10" i="37"/>
  <c r="G31" i="19" s="1"/>
  <c r="G26" i="37"/>
  <c r="H47" i="19" s="1"/>
  <c r="H24" i="37"/>
  <c r="I45" i="19" s="1"/>
  <c r="J22" i="37"/>
  <c r="K43" i="19" s="1"/>
  <c r="O20" i="37"/>
  <c r="P41" i="19" s="1"/>
  <c r="D19" i="37"/>
  <c r="E40" i="19" s="1"/>
  <c r="G17" i="37"/>
  <c r="H38" i="19" s="1"/>
  <c r="E15" i="37"/>
  <c r="F36" i="19" s="1"/>
  <c r="K13" i="37"/>
  <c r="L34" i="19" s="1"/>
  <c r="Q11" i="37"/>
  <c r="R32" i="19" s="1"/>
  <c r="E10" i="37"/>
  <c r="F31" i="19" s="1"/>
  <c r="S27" i="37"/>
  <c r="T48" i="19" s="1"/>
  <c r="S25" i="37"/>
  <c r="T46" i="19" s="1"/>
  <c r="G24" i="37"/>
  <c r="H45" i="19" s="1"/>
  <c r="I22" i="37"/>
  <c r="J43" i="19" s="1"/>
  <c r="N20" i="37"/>
  <c r="O41" i="19" s="1"/>
  <c r="Q18" i="37"/>
  <c r="R39" i="19" s="1"/>
  <c r="F17" i="37"/>
  <c r="G38" i="19" s="1"/>
  <c r="D15" i="37"/>
  <c r="E36" i="19" s="1"/>
  <c r="I13" i="37"/>
  <c r="J34" i="19" s="1"/>
  <c r="P11" i="37"/>
  <c r="Q32" i="19" s="1"/>
  <c r="D10" i="37"/>
  <c r="E31" i="19" s="1"/>
  <c r="R27" i="37"/>
  <c r="S48" i="19" s="1"/>
  <c r="R25" i="37"/>
  <c r="S46" i="19" s="1"/>
  <c r="E24" i="37"/>
  <c r="F45" i="19" s="1"/>
  <c r="H22" i="37"/>
  <c r="I43" i="19" s="1"/>
  <c r="M20" i="37"/>
  <c r="N41" i="19" s="1"/>
  <c r="P18" i="37"/>
  <c r="Q39" i="19" s="1"/>
  <c r="D17" i="37"/>
  <c r="E38" i="19" s="1"/>
  <c r="H13" i="37"/>
  <c r="I34" i="19" s="1"/>
  <c r="O11" i="37"/>
  <c r="P32" i="19" s="1"/>
  <c r="Q27" i="37"/>
  <c r="R48" i="19" s="1"/>
  <c r="Q25" i="37"/>
  <c r="R46" i="19" s="1"/>
  <c r="D24" i="37"/>
  <c r="E45" i="19" s="1"/>
  <c r="G22" i="37"/>
  <c r="H43" i="19" s="1"/>
  <c r="L20" i="37"/>
  <c r="M41" i="19" s="1"/>
  <c r="O18" i="37"/>
  <c r="P39" i="19" s="1"/>
  <c r="P16" i="37"/>
  <c r="Q37" i="19" s="1"/>
  <c r="S14" i="37"/>
  <c r="T35" i="19" s="1"/>
  <c r="G13" i="37"/>
  <c r="H34" i="19" s="1"/>
  <c r="L11" i="37"/>
  <c r="M32" i="19" s="1"/>
  <c r="S9" i="37"/>
  <c r="T30" i="19" s="1"/>
  <c r="K27" i="37"/>
  <c r="L48" i="19" s="1"/>
  <c r="O25" i="37"/>
  <c r="P46" i="19" s="1"/>
  <c r="F22" i="37"/>
  <c r="G43" i="19" s="1"/>
  <c r="K20" i="37"/>
  <c r="L41" i="19" s="1"/>
  <c r="N18" i="37"/>
  <c r="O39" i="19" s="1"/>
  <c r="O16" i="37"/>
  <c r="R14" i="37"/>
  <c r="S35" i="19" s="1"/>
  <c r="F13" i="37"/>
  <c r="G34" i="19" s="1"/>
  <c r="K11" i="37"/>
  <c r="L32" i="19" s="1"/>
  <c r="Q9" i="37"/>
  <c r="R30" i="19" s="1"/>
  <c r="H11" i="37"/>
  <c r="I32" i="19" s="1"/>
  <c r="G14" i="37"/>
  <c r="H35" i="19" s="1"/>
  <c r="L16" i="37"/>
  <c r="M37" i="19" s="1"/>
  <c r="L19" i="37"/>
  <c r="M40" i="19" s="1"/>
  <c r="E22" i="37"/>
  <c r="F43" i="19" s="1"/>
  <c r="G25" i="37"/>
  <c r="H46" i="19" s="1"/>
  <c r="F28" i="37"/>
  <c r="G49" i="19" s="1"/>
  <c r="I11" i="37"/>
  <c r="J32" i="19" s="1"/>
  <c r="M16" i="37"/>
  <c r="N37" i="19" s="1"/>
  <c r="Q22" i="37"/>
  <c r="R43" i="19" s="1"/>
  <c r="H28" i="37"/>
  <c r="I49" i="19" s="1"/>
  <c r="J11" i="37"/>
  <c r="K32" i="19" s="1"/>
  <c r="J14" i="37"/>
  <c r="K35" i="19" s="1"/>
  <c r="J17" i="37"/>
  <c r="K38" i="19" s="1"/>
  <c r="O19" i="37"/>
  <c r="P40" i="19" s="1"/>
  <c r="R22" i="37"/>
  <c r="S43" i="19" s="1"/>
  <c r="I25" i="37"/>
  <c r="J46" i="19" s="1"/>
  <c r="I28" i="37"/>
  <c r="J49" i="19" s="1"/>
  <c r="E9" i="37"/>
  <c r="F30" i="19" s="1"/>
  <c r="K17" i="37"/>
  <c r="L38" i="19" s="1"/>
  <c r="Q19" i="37"/>
  <c r="R40" i="19" s="1"/>
  <c r="S22" i="37"/>
  <c r="T43" i="19" s="1"/>
  <c r="J25" i="37"/>
  <c r="K46" i="19" s="1"/>
  <c r="K28" i="37"/>
  <c r="L49" i="19" s="1"/>
  <c r="F9" i="37"/>
  <c r="G30" i="19" s="1"/>
  <c r="D12" i="37"/>
  <c r="E33" i="19" s="1"/>
  <c r="L14" i="37"/>
  <c r="M35" i="19" s="1"/>
  <c r="L17" i="37"/>
  <c r="M38" i="19" s="1"/>
  <c r="D20" i="37"/>
  <c r="E41" i="19" s="1"/>
  <c r="K25" i="37"/>
  <c r="L46" i="19" s="1"/>
  <c r="M28" i="37"/>
  <c r="N49" i="19" s="1"/>
  <c r="E12" i="37"/>
  <c r="F33" i="19" s="1"/>
  <c r="M14" i="37"/>
  <c r="N35" i="19" s="1"/>
  <c r="M17" i="37"/>
  <c r="N38" i="19" s="1"/>
  <c r="H20" i="37"/>
  <c r="I41" i="19" s="1"/>
  <c r="L25" i="37"/>
  <c r="M46" i="19" s="1"/>
  <c r="N28" i="37"/>
  <c r="O49" i="19" s="1"/>
  <c r="M9" i="37"/>
  <c r="N30" i="19" s="1"/>
  <c r="F12" i="37"/>
  <c r="G33" i="19" s="1"/>
  <c r="O14" i="37"/>
  <c r="P35" i="19" s="1"/>
  <c r="P17" i="37"/>
  <c r="Q38" i="19" s="1"/>
  <c r="I20" i="37"/>
  <c r="J41" i="19" s="1"/>
  <c r="N25" i="37"/>
  <c r="O46" i="19" s="1"/>
  <c r="O28" i="37"/>
  <c r="P49" i="19" s="1"/>
  <c r="N9" i="37"/>
  <c r="O30" i="19" s="1"/>
  <c r="K12" i="37"/>
  <c r="L33" i="19" s="1"/>
  <c r="P14" i="37"/>
  <c r="Q35" i="19" s="1"/>
  <c r="R17" i="37"/>
  <c r="S38" i="19" s="1"/>
  <c r="J20" i="37"/>
  <c r="K41" i="19" s="1"/>
  <c r="J23" i="37"/>
  <c r="K44" i="19" s="1"/>
  <c r="L26" i="37"/>
  <c r="M47" i="19" s="1"/>
  <c r="P28" i="37"/>
  <c r="Q49" i="19" s="1"/>
  <c r="O9" i="37"/>
  <c r="P30" i="19" s="1"/>
  <c r="M12" i="37"/>
  <c r="N33" i="19" s="1"/>
  <c r="Q14" i="37"/>
  <c r="R35" i="19" s="1"/>
  <c r="S17" i="37"/>
  <c r="T38" i="19" s="1"/>
  <c r="S20" i="37"/>
  <c r="T41" i="19" s="1"/>
  <c r="K23" i="37"/>
  <c r="L44" i="19" s="1"/>
  <c r="M26" i="37"/>
  <c r="N47" i="19" s="1"/>
  <c r="S28" i="37"/>
  <c r="T49" i="19" s="1"/>
  <c r="G10" i="37"/>
  <c r="H31" i="19" s="1"/>
  <c r="N12" i="37"/>
  <c r="O33" i="19" s="1"/>
  <c r="O15" i="37"/>
  <c r="P36" i="19" s="1"/>
  <c r="L23" i="37"/>
  <c r="M44" i="19" s="1"/>
  <c r="N26" i="37"/>
  <c r="O47" i="19" s="1"/>
  <c r="C2" i="37"/>
  <c r="I14" i="37"/>
  <c r="J35" i="19" s="1"/>
  <c r="N19" i="37"/>
  <c r="O40" i="19" s="1"/>
  <c r="H25" i="37"/>
  <c r="I46" i="19" s="1"/>
  <c r="K14" i="37"/>
  <c r="L35" i="19" s="1"/>
  <c r="F23" i="37"/>
  <c r="G44" i="19" s="1"/>
  <c r="I9" i="37"/>
  <c r="J30" i="19" s="1"/>
  <c r="G23" i="37"/>
  <c r="H44" i="19" s="1"/>
  <c r="I23" i="37"/>
  <c r="J44" i="19" s="1"/>
  <c r="H10" i="37"/>
  <c r="I31" i="19" s="1"/>
  <c r="O12" i="37"/>
  <c r="P33" i="19" s="1"/>
  <c r="P15" i="37"/>
  <c r="Q36" i="19" s="1"/>
  <c r="D18" i="37"/>
  <c r="E39" i="19" s="1"/>
  <c r="D21" i="37"/>
  <c r="E42" i="19" s="1"/>
  <c r="M23" i="37"/>
  <c r="N44" i="19" s="1"/>
  <c r="O26" i="37"/>
  <c r="P47" i="19" s="1"/>
  <c r="D137" i="37"/>
  <c r="T117" i="37"/>
  <c r="T137" i="37"/>
  <c r="T110" i="37"/>
  <c r="T99" i="37"/>
  <c r="T92" i="37"/>
  <c r="X110" i="37"/>
  <c r="T97" i="37"/>
  <c r="T95" i="37"/>
  <c r="T96" i="37"/>
  <c r="E131" i="36"/>
  <c r="E138" i="36" s="1"/>
  <c r="E85" i="36"/>
  <c r="E88" i="36" s="1"/>
  <c r="E48" i="1" s="1"/>
  <c r="E141" i="36"/>
  <c r="E140" i="36"/>
  <c r="E12" i="36"/>
  <c r="J83" i="29"/>
  <c r="L83" i="29" s="1"/>
  <c r="K82" i="29"/>
  <c r="L176" i="29"/>
  <c r="L82" i="29"/>
  <c r="K176" i="29"/>
  <c r="D46" i="36" l="1"/>
  <c r="D52" i="36" s="1"/>
  <c r="F45" i="1" s="1"/>
  <c r="D42" i="36"/>
  <c r="T14" i="37"/>
  <c r="E143" i="36"/>
  <c r="E53" i="1" s="1"/>
  <c r="T16" i="37"/>
  <c r="P37" i="19"/>
  <c r="T13" i="37"/>
  <c r="K34" i="19"/>
  <c r="T25" i="37"/>
  <c r="F46" i="19"/>
  <c r="T20" i="37"/>
  <c r="T10" i="37"/>
  <c r="T22" i="37"/>
  <c r="N29" i="37"/>
  <c r="H29" i="37"/>
  <c r="L29" i="37"/>
  <c r="G29" i="37"/>
  <c r="T27" i="37"/>
  <c r="M29" i="37"/>
  <c r="Q29" i="37"/>
  <c r="O29" i="37"/>
  <c r="T28" i="37"/>
  <c r="R29" i="37"/>
  <c r="T11" i="37"/>
  <c r="T19" i="37"/>
  <c r="T9" i="37"/>
  <c r="D29" i="37"/>
  <c r="P29" i="37"/>
  <c r="S29" i="37"/>
  <c r="T21" i="37"/>
  <c r="T18" i="37"/>
  <c r="T12" i="37"/>
  <c r="J29" i="37"/>
  <c r="T23" i="37"/>
  <c r="F29" i="37"/>
  <c r="T15" i="37"/>
  <c r="I29" i="37"/>
  <c r="T24" i="37"/>
  <c r="T26" i="37"/>
  <c r="E29" i="37"/>
  <c r="T17" i="37"/>
  <c r="K29" i="37"/>
  <c r="E16" i="36"/>
  <c r="E106" i="36"/>
  <c r="E109" i="36" s="1"/>
  <c r="E50" i="1" s="1"/>
  <c r="J84" i="29"/>
  <c r="J85" i="29" s="1"/>
  <c r="K83" i="29"/>
  <c r="E45" i="1" l="1"/>
  <c r="G45" i="1"/>
  <c r="L84" i="29"/>
  <c r="K84" i="29"/>
  <c r="J86" i="29"/>
  <c r="L85" i="29"/>
  <c r="K85" i="29"/>
  <c r="E170" i="36" l="1"/>
  <c r="F170" i="36" s="1"/>
  <c r="G170" i="36" s="1"/>
  <c r="J87" i="29"/>
  <c r="K86" i="29"/>
  <c r="L86" i="29"/>
  <c r="J88" i="29" l="1"/>
  <c r="K87" i="29"/>
  <c r="L87" i="29"/>
  <c r="J89" i="29" l="1"/>
  <c r="K88" i="29"/>
  <c r="L88" i="29"/>
  <c r="J90" i="29" l="1"/>
  <c r="L89" i="29"/>
  <c r="K89" i="29"/>
  <c r="J91" i="29" l="1"/>
  <c r="K90" i="29"/>
  <c r="L90" i="29"/>
  <c r="J92" i="29" l="1"/>
  <c r="K91" i="29"/>
  <c r="L91" i="29"/>
  <c r="J93" i="29" l="1"/>
  <c r="K92" i="29"/>
  <c r="L92" i="29"/>
  <c r="J94" i="29" l="1"/>
  <c r="K93" i="29"/>
  <c r="L93" i="29"/>
  <c r="J95" i="29" l="1"/>
  <c r="K94" i="29"/>
  <c r="L94" i="29"/>
  <c r="J96" i="29" l="1"/>
  <c r="K95" i="29"/>
  <c r="L95" i="29"/>
  <c r="J97" i="29" l="1"/>
  <c r="K96" i="29"/>
  <c r="L96" i="29"/>
  <c r="J98" i="29" l="1"/>
  <c r="K97" i="29"/>
  <c r="L97" i="29"/>
  <c r="J99" i="29" l="1"/>
  <c r="K98" i="29"/>
  <c r="L98" i="29"/>
  <c r="J100" i="29" l="1"/>
  <c r="K99" i="29"/>
  <c r="L99" i="29"/>
  <c r="J101" i="29" l="1"/>
  <c r="K100" i="29"/>
  <c r="L100" i="29"/>
  <c r="J102" i="29" l="1"/>
  <c r="L101" i="29"/>
  <c r="K101" i="29"/>
  <c r="J103" i="29" l="1"/>
  <c r="K102" i="29"/>
  <c r="L102" i="29"/>
  <c r="J104" i="29" l="1"/>
  <c r="K103" i="29"/>
  <c r="L103" i="29"/>
  <c r="J105" i="29" l="1"/>
  <c r="K104" i="29"/>
  <c r="L104" i="29"/>
  <c r="J106" i="29" l="1"/>
  <c r="L105" i="29"/>
  <c r="K105" i="29"/>
  <c r="J107" i="29" l="1"/>
  <c r="K106" i="29"/>
  <c r="L106" i="29"/>
  <c r="J108" i="29" l="1"/>
  <c r="K107" i="29"/>
  <c r="L107" i="29"/>
  <c r="J109" i="29" l="1"/>
  <c r="K108" i="29"/>
  <c r="L108" i="29"/>
  <c r="J110" i="29" l="1"/>
  <c r="K109" i="29"/>
  <c r="L109" i="29"/>
  <c r="J111" i="29" l="1"/>
  <c r="K110" i="29"/>
  <c r="L110" i="29"/>
  <c r="J112" i="29" l="1"/>
  <c r="K111" i="29"/>
  <c r="L111" i="29"/>
  <c r="J113" i="29" l="1"/>
  <c r="K112" i="29"/>
  <c r="L112" i="29"/>
  <c r="J114" i="29" l="1"/>
  <c r="K113" i="29"/>
  <c r="L113" i="29"/>
  <c r="J115" i="29" l="1"/>
  <c r="K114" i="29"/>
  <c r="L114" i="29"/>
  <c r="J116" i="29" l="1"/>
  <c r="K115" i="29"/>
  <c r="L115" i="29"/>
  <c r="T47" i="29"/>
  <c r="T48" i="29"/>
  <c r="T50" i="29"/>
  <c r="T51" i="29"/>
  <c r="T52" i="29"/>
  <c r="T54" i="29"/>
  <c r="T55" i="29"/>
  <c r="T57" i="29"/>
  <c r="T58" i="29"/>
  <c r="T66" i="29"/>
  <c r="T67" i="29"/>
  <c r="T68" i="29"/>
  <c r="T46" i="29"/>
  <c r="K67" i="29"/>
  <c r="L67" i="29"/>
  <c r="M67" i="29"/>
  <c r="K68" i="29"/>
  <c r="L68" i="29"/>
  <c r="M68" i="29"/>
  <c r="M66" i="29"/>
  <c r="M47" i="29"/>
  <c r="M48" i="29"/>
  <c r="M50" i="29"/>
  <c r="M51" i="29"/>
  <c r="M52" i="29"/>
  <c r="M54" i="29"/>
  <c r="M55" i="29"/>
  <c r="M57" i="29"/>
  <c r="M58" i="29"/>
  <c r="M46" i="29"/>
  <c r="L39" i="29"/>
  <c r="M28" i="29"/>
  <c r="E34" i="29"/>
  <c r="G34" i="29" s="1"/>
  <c r="E33" i="29"/>
  <c r="G33" i="29" s="1"/>
  <c r="E32" i="29"/>
  <c r="G32" i="29" s="1"/>
  <c r="E31" i="29"/>
  <c r="E30" i="29"/>
  <c r="E26" i="29"/>
  <c r="E25" i="29"/>
  <c r="E24" i="29"/>
  <c r="E21" i="29"/>
  <c r="E20" i="29"/>
  <c r="E19" i="29"/>
  <c r="E18" i="29"/>
  <c r="E15" i="29"/>
  <c r="E11" i="29"/>
  <c r="E5" i="29"/>
  <c r="M29" i="29" l="1"/>
  <c r="J117" i="29"/>
  <c r="K116" i="29"/>
  <c r="L116" i="29"/>
  <c r="G31" i="29"/>
  <c r="J118" i="29" l="1"/>
  <c r="L117" i="29"/>
  <c r="K117" i="29"/>
  <c r="J119" i="29" l="1"/>
  <c r="K118" i="29"/>
  <c r="L118" i="29"/>
  <c r="J120" i="29" l="1"/>
  <c r="K119" i="29"/>
  <c r="L119" i="29"/>
  <c r="J121" i="29" l="1"/>
  <c r="K120" i="29"/>
  <c r="L120" i="29"/>
  <c r="J122" i="29" l="1"/>
  <c r="L121" i="29"/>
  <c r="K121" i="29"/>
  <c r="J123" i="29" l="1"/>
  <c r="K122" i="29"/>
  <c r="L122" i="29"/>
  <c r="J124" i="29" l="1"/>
  <c r="K123" i="29"/>
  <c r="L123" i="29"/>
  <c r="J125" i="29" l="1"/>
  <c r="K124" i="29"/>
  <c r="L124" i="2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E156" i="19"/>
  <c r="J126" i="29" l="1"/>
  <c r="K125" i="29"/>
  <c r="L125" i="2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E181" i="19"/>
  <c r="J127" i="29" l="1"/>
  <c r="K126" i="29"/>
  <c r="L126" i="29"/>
  <c r="J128" i="29" l="1"/>
  <c r="K127" i="29"/>
  <c r="L127" i="29"/>
  <c r="J129" i="29" l="1"/>
  <c r="K128" i="29"/>
  <c r="L128" i="29"/>
  <c r="D517" i="20"/>
  <c r="D483" i="20"/>
  <c r="D449" i="20"/>
  <c r="D415" i="20"/>
  <c r="D381" i="20"/>
  <c r="D347" i="20"/>
  <c r="D313" i="20"/>
  <c r="D279" i="20"/>
  <c r="D245" i="20"/>
  <c r="D211" i="20"/>
  <c r="D176" i="20"/>
  <c r="D177" i="20"/>
  <c r="D143" i="20"/>
  <c r="D109" i="20"/>
  <c r="D231" i="19"/>
  <c r="D255" i="19" s="1"/>
  <c r="D232" i="19"/>
  <c r="D256" i="19" s="1"/>
  <c r="D233" i="19"/>
  <c r="D257" i="19" s="1"/>
  <c r="D234" i="19"/>
  <c r="D258" i="19" s="1"/>
  <c r="D235" i="19"/>
  <c r="D259" i="19" s="1"/>
  <c r="D236" i="19"/>
  <c r="D260" i="19" s="1"/>
  <c r="D237" i="19"/>
  <c r="D261" i="19" s="1"/>
  <c r="D238" i="19"/>
  <c r="D262" i="19" s="1"/>
  <c r="D239" i="19"/>
  <c r="D263" i="19" s="1"/>
  <c r="D240" i="19"/>
  <c r="D264" i="19" s="1"/>
  <c r="D241" i="19"/>
  <c r="D265" i="19" s="1"/>
  <c r="D242" i="19"/>
  <c r="D266" i="19" s="1"/>
  <c r="D243" i="19"/>
  <c r="D267" i="19" s="1"/>
  <c r="D244" i="19"/>
  <c r="D268" i="19" s="1"/>
  <c r="D245" i="19"/>
  <c r="D269" i="19" s="1"/>
  <c r="D246" i="19"/>
  <c r="D270" i="19" s="1"/>
  <c r="D247" i="19"/>
  <c r="D271" i="19" s="1"/>
  <c r="D248" i="19"/>
  <c r="D272" i="19" s="1"/>
  <c r="D249" i="19"/>
  <c r="D273" i="19" s="1"/>
  <c r="D230" i="19"/>
  <c r="D254" i="19" s="1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201" i="19" s="1"/>
  <c r="D225" i="19" s="1"/>
  <c r="D157" i="19"/>
  <c r="D182" i="19" s="1"/>
  <c r="D206" i="19" s="1"/>
  <c r="G6" i="19"/>
  <c r="G5" i="19"/>
  <c r="C1" i="20" s="1"/>
  <c r="C2" i="20" s="1"/>
  <c r="G4" i="19"/>
  <c r="T68" i="19" s="1"/>
  <c r="G17" i="19"/>
  <c r="G16" i="19"/>
  <c r="D1" i="20"/>
  <c r="G32" i="1"/>
  <c r="G31" i="1"/>
  <c r="G30" i="1"/>
  <c r="D41" i="20"/>
  <c r="D8" i="20" a="1"/>
  <c r="G175" i="19" l="1"/>
  <c r="K175" i="19"/>
  <c r="H175" i="19"/>
  <c r="L175" i="19"/>
  <c r="E175" i="19"/>
  <c r="I175" i="19"/>
  <c r="D200" i="19"/>
  <c r="D224" i="19" s="1"/>
  <c r="F175" i="19"/>
  <c r="J175" i="19"/>
  <c r="G171" i="19"/>
  <c r="K171" i="19"/>
  <c r="O171" i="19"/>
  <c r="S171" i="19"/>
  <c r="H171" i="19"/>
  <c r="L171" i="19"/>
  <c r="P171" i="19"/>
  <c r="T171" i="19"/>
  <c r="E171" i="19"/>
  <c r="I171" i="19"/>
  <c r="M171" i="19"/>
  <c r="Q171" i="19"/>
  <c r="D196" i="19"/>
  <c r="D220" i="19" s="1"/>
  <c r="F171" i="19"/>
  <c r="J171" i="19"/>
  <c r="N171" i="19"/>
  <c r="R171" i="19"/>
  <c r="G167" i="19"/>
  <c r="K167" i="19"/>
  <c r="O167" i="19"/>
  <c r="S167" i="19"/>
  <c r="H167" i="19"/>
  <c r="L167" i="19"/>
  <c r="P167" i="19"/>
  <c r="T167" i="19"/>
  <c r="E167" i="19"/>
  <c r="I167" i="19"/>
  <c r="M167" i="19"/>
  <c r="Q167" i="19"/>
  <c r="D192" i="19"/>
  <c r="D216" i="19" s="1"/>
  <c r="F167" i="19"/>
  <c r="J167" i="19"/>
  <c r="N167" i="19"/>
  <c r="R167" i="19"/>
  <c r="G163" i="19"/>
  <c r="K163" i="19"/>
  <c r="O163" i="19"/>
  <c r="S163" i="19"/>
  <c r="H163" i="19"/>
  <c r="L163" i="19"/>
  <c r="P163" i="19"/>
  <c r="T163" i="19"/>
  <c r="E163" i="19"/>
  <c r="I163" i="19"/>
  <c r="M163" i="19"/>
  <c r="Q163" i="19"/>
  <c r="D188" i="19"/>
  <c r="D212" i="19" s="1"/>
  <c r="F163" i="19"/>
  <c r="J163" i="19"/>
  <c r="N163" i="19"/>
  <c r="R163" i="19"/>
  <c r="G159" i="19"/>
  <c r="K159" i="19"/>
  <c r="O159" i="19"/>
  <c r="S159" i="19"/>
  <c r="H159" i="19"/>
  <c r="L159" i="19"/>
  <c r="P159" i="19"/>
  <c r="T159" i="19"/>
  <c r="E159" i="19"/>
  <c r="I159" i="19"/>
  <c r="M159" i="19"/>
  <c r="Q159" i="19"/>
  <c r="D184" i="19"/>
  <c r="D208" i="19" s="1"/>
  <c r="F159" i="19"/>
  <c r="J159" i="19"/>
  <c r="N159" i="19"/>
  <c r="R159" i="19"/>
  <c r="S157" i="19"/>
  <c r="O157" i="19"/>
  <c r="K157" i="19"/>
  <c r="G157" i="19"/>
  <c r="R176" i="19"/>
  <c r="N176" i="19"/>
  <c r="J176" i="19"/>
  <c r="F176" i="19"/>
  <c r="R175" i="19"/>
  <c r="N175" i="19"/>
  <c r="G174" i="19"/>
  <c r="K174" i="19"/>
  <c r="O174" i="19"/>
  <c r="S174" i="19"/>
  <c r="H174" i="19"/>
  <c r="L174" i="19"/>
  <c r="P174" i="19"/>
  <c r="T174" i="19"/>
  <c r="D199" i="19"/>
  <c r="D223" i="19" s="1"/>
  <c r="E174" i="19"/>
  <c r="I174" i="19"/>
  <c r="M174" i="19"/>
  <c r="Q174" i="19"/>
  <c r="F174" i="19"/>
  <c r="J174" i="19"/>
  <c r="N174" i="19"/>
  <c r="R174" i="19"/>
  <c r="G170" i="19"/>
  <c r="K170" i="19"/>
  <c r="O170" i="19"/>
  <c r="S170" i="19"/>
  <c r="H170" i="19"/>
  <c r="L170" i="19"/>
  <c r="P170" i="19"/>
  <c r="T170" i="19"/>
  <c r="D195" i="19"/>
  <c r="D219" i="19" s="1"/>
  <c r="E170" i="19"/>
  <c r="I170" i="19"/>
  <c r="M170" i="19"/>
  <c r="Q170" i="19"/>
  <c r="F170" i="19"/>
  <c r="J170" i="19"/>
  <c r="N170" i="19"/>
  <c r="R170" i="19"/>
  <c r="G166" i="19"/>
  <c r="K166" i="19"/>
  <c r="O166" i="19"/>
  <c r="S166" i="19"/>
  <c r="H166" i="19"/>
  <c r="L166" i="19"/>
  <c r="P166" i="19"/>
  <c r="T166" i="19"/>
  <c r="D191" i="19"/>
  <c r="D215" i="19" s="1"/>
  <c r="E166" i="19"/>
  <c r="I166" i="19"/>
  <c r="M166" i="19"/>
  <c r="Q166" i="19"/>
  <c r="F166" i="19"/>
  <c r="J166" i="19"/>
  <c r="N166" i="19"/>
  <c r="R166" i="19"/>
  <c r="G162" i="19"/>
  <c r="K162" i="19"/>
  <c r="O162" i="19"/>
  <c r="S162" i="19"/>
  <c r="H162" i="19"/>
  <c r="L162" i="19"/>
  <c r="P162" i="19"/>
  <c r="T162" i="19"/>
  <c r="D187" i="19"/>
  <c r="D211" i="19" s="1"/>
  <c r="E162" i="19"/>
  <c r="I162" i="19"/>
  <c r="M162" i="19"/>
  <c r="Q162" i="19"/>
  <c r="F162" i="19"/>
  <c r="J162" i="19"/>
  <c r="N162" i="19"/>
  <c r="R162" i="19"/>
  <c r="G158" i="19"/>
  <c r="K158" i="19"/>
  <c r="O158" i="19"/>
  <c r="S158" i="19"/>
  <c r="H158" i="19"/>
  <c r="L158" i="19"/>
  <c r="P158" i="19"/>
  <c r="T158" i="19"/>
  <c r="D183" i="19"/>
  <c r="D207" i="19" s="1"/>
  <c r="I158" i="19"/>
  <c r="M158" i="19"/>
  <c r="Q158" i="19"/>
  <c r="F158" i="19"/>
  <c r="J158" i="19"/>
  <c r="N158" i="19"/>
  <c r="R158" i="19"/>
  <c r="R157" i="19"/>
  <c r="N157" i="19"/>
  <c r="J157" i="19"/>
  <c r="F157" i="19"/>
  <c r="Q176" i="19"/>
  <c r="M176" i="19"/>
  <c r="I176" i="19"/>
  <c r="E176" i="19"/>
  <c r="Q175" i="19"/>
  <c r="M175" i="19"/>
  <c r="G173" i="19"/>
  <c r="K173" i="19"/>
  <c r="O173" i="19"/>
  <c r="S173" i="19"/>
  <c r="D198" i="19"/>
  <c r="D222" i="19" s="1"/>
  <c r="H173" i="19"/>
  <c r="L173" i="19"/>
  <c r="P173" i="19"/>
  <c r="T173" i="19"/>
  <c r="E173" i="19"/>
  <c r="I173" i="19"/>
  <c r="M173" i="19"/>
  <c r="Q173" i="19"/>
  <c r="F173" i="19"/>
  <c r="J173" i="19"/>
  <c r="N173" i="19"/>
  <c r="R173" i="19"/>
  <c r="G169" i="19"/>
  <c r="K169" i="19"/>
  <c r="O169" i="19"/>
  <c r="S169" i="19"/>
  <c r="D194" i="19"/>
  <c r="D218" i="19" s="1"/>
  <c r="H169" i="19"/>
  <c r="L169" i="19"/>
  <c r="P169" i="19"/>
  <c r="T169" i="19"/>
  <c r="E169" i="19"/>
  <c r="I169" i="19"/>
  <c r="M169" i="19"/>
  <c r="Q169" i="19"/>
  <c r="F169" i="19"/>
  <c r="J169" i="19"/>
  <c r="N169" i="19"/>
  <c r="R169" i="19"/>
  <c r="G165" i="19"/>
  <c r="K165" i="19"/>
  <c r="O165" i="19"/>
  <c r="S165" i="19"/>
  <c r="D190" i="19"/>
  <c r="D214" i="19" s="1"/>
  <c r="H165" i="19"/>
  <c r="L165" i="19"/>
  <c r="P165" i="19"/>
  <c r="T165" i="19"/>
  <c r="E165" i="19"/>
  <c r="I165" i="19"/>
  <c r="M165" i="19"/>
  <c r="Q165" i="19"/>
  <c r="F165" i="19"/>
  <c r="J165" i="19"/>
  <c r="N165" i="19"/>
  <c r="R165" i="19"/>
  <c r="G161" i="19"/>
  <c r="K161" i="19"/>
  <c r="O161" i="19"/>
  <c r="S161" i="19"/>
  <c r="D186" i="19"/>
  <c r="D210" i="19" s="1"/>
  <c r="H161" i="19"/>
  <c r="L161" i="19"/>
  <c r="P161" i="19"/>
  <c r="T161" i="19"/>
  <c r="E161" i="19"/>
  <c r="I161" i="19"/>
  <c r="M161" i="19"/>
  <c r="Q161" i="19"/>
  <c r="F161" i="19"/>
  <c r="J161" i="19"/>
  <c r="N161" i="19"/>
  <c r="R161" i="19"/>
  <c r="Q157" i="19"/>
  <c r="M157" i="19"/>
  <c r="I157" i="19"/>
  <c r="T176" i="19"/>
  <c r="P176" i="19"/>
  <c r="L176" i="19"/>
  <c r="H176" i="19"/>
  <c r="T175" i="19"/>
  <c r="P175" i="19"/>
  <c r="D197" i="19"/>
  <c r="D221" i="19" s="1"/>
  <c r="G172" i="19"/>
  <c r="K172" i="19"/>
  <c r="O172" i="19"/>
  <c r="S172" i="19"/>
  <c r="H172" i="19"/>
  <c r="L172" i="19"/>
  <c r="P172" i="19"/>
  <c r="T172" i="19"/>
  <c r="E172" i="19"/>
  <c r="I172" i="19"/>
  <c r="M172" i="19"/>
  <c r="Q172" i="19"/>
  <c r="F172" i="19"/>
  <c r="J172" i="19"/>
  <c r="N172" i="19"/>
  <c r="R172" i="19"/>
  <c r="D193" i="19"/>
  <c r="D217" i="19" s="1"/>
  <c r="G168" i="19"/>
  <c r="K168" i="19"/>
  <c r="O168" i="19"/>
  <c r="S168" i="19"/>
  <c r="H168" i="19"/>
  <c r="L168" i="19"/>
  <c r="P168" i="19"/>
  <c r="T168" i="19"/>
  <c r="E168" i="19"/>
  <c r="I168" i="19"/>
  <c r="M168" i="19"/>
  <c r="Q168" i="19"/>
  <c r="F168" i="19"/>
  <c r="J168" i="19"/>
  <c r="N168" i="19"/>
  <c r="R168" i="19"/>
  <c r="D189" i="19"/>
  <c r="D213" i="19" s="1"/>
  <c r="G164" i="19"/>
  <c r="K164" i="19"/>
  <c r="O164" i="19"/>
  <c r="S164" i="19"/>
  <c r="H164" i="19"/>
  <c r="L164" i="19"/>
  <c r="P164" i="19"/>
  <c r="T164" i="19"/>
  <c r="E164" i="19"/>
  <c r="I164" i="19"/>
  <c r="M164" i="19"/>
  <c r="Q164" i="19"/>
  <c r="F164" i="19"/>
  <c r="J164" i="19"/>
  <c r="N164" i="19"/>
  <c r="R164" i="19"/>
  <c r="D185" i="19"/>
  <c r="D209" i="19" s="1"/>
  <c r="G160" i="19"/>
  <c r="K160" i="19"/>
  <c r="O160" i="19"/>
  <c r="S160" i="19"/>
  <c r="H160" i="19"/>
  <c r="L160" i="19"/>
  <c r="P160" i="19"/>
  <c r="T160" i="19"/>
  <c r="E160" i="19"/>
  <c r="I160" i="19"/>
  <c r="M160" i="19"/>
  <c r="Q160" i="19"/>
  <c r="F160" i="19"/>
  <c r="J160" i="19"/>
  <c r="N160" i="19"/>
  <c r="R160" i="19"/>
  <c r="T157" i="19"/>
  <c r="P157" i="19"/>
  <c r="L157" i="19"/>
  <c r="H157" i="19"/>
  <c r="S176" i="19"/>
  <c r="O176" i="19"/>
  <c r="K176" i="19"/>
  <c r="G176" i="19"/>
  <c r="S175" i="19"/>
  <c r="O175" i="19"/>
  <c r="J130" i="29"/>
  <c r="K129" i="29"/>
  <c r="L129" i="29"/>
  <c r="D8" i="20"/>
  <c r="F56" i="19"/>
  <c r="L56" i="19"/>
  <c r="T56" i="19"/>
  <c r="K57" i="19"/>
  <c r="S57" i="19"/>
  <c r="J58" i="19"/>
  <c r="R58" i="19"/>
  <c r="I59" i="19"/>
  <c r="Q59" i="19"/>
  <c r="L60" i="19"/>
  <c r="K61" i="19"/>
  <c r="J62" i="19"/>
  <c r="I63" i="19"/>
  <c r="H64" i="19"/>
  <c r="G65" i="19"/>
  <c r="F66" i="19"/>
  <c r="R74" i="19"/>
  <c r="N74" i="19"/>
  <c r="J74" i="19"/>
  <c r="F74" i="19"/>
  <c r="S73" i="19"/>
  <c r="O73" i="19"/>
  <c r="K73" i="19"/>
  <c r="G73" i="19"/>
  <c r="T72" i="19"/>
  <c r="P72" i="19"/>
  <c r="L72" i="19"/>
  <c r="H72" i="19"/>
  <c r="Q71" i="19"/>
  <c r="M71" i="19"/>
  <c r="I71" i="19"/>
  <c r="R70" i="19"/>
  <c r="N70" i="19"/>
  <c r="J70" i="19"/>
  <c r="F70" i="19"/>
  <c r="S69" i="19"/>
  <c r="O69" i="19"/>
  <c r="Q74" i="19"/>
  <c r="M74" i="19"/>
  <c r="I74" i="19"/>
  <c r="R73" i="19"/>
  <c r="N73" i="19"/>
  <c r="J73" i="19"/>
  <c r="F73" i="19"/>
  <c r="S72" i="19"/>
  <c r="O72" i="19"/>
  <c r="K72" i="19"/>
  <c r="G72" i="19"/>
  <c r="T71" i="19"/>
  <c r="P71" i="19"/>
  <c r="L71" i="19"/>
  <c r="H71" i="19"/>
  <c r="Q70" i="19"/>
  <c r="M70" i="19"/>
  <c r="I70" i="19"/>
  <c r="R69" i="19"/>
  <c r="N69" i="19"/>
  <c r="J69" i="19"/>
  <c r="F69" i="19"/>
  <c r="S68" i="19"/>
  <c r="O68" i="19"/>
  <c r="K68" i="19"/>
  <c r="G68" i="19"/>
  <c r="T67" i="19"/>
  <c r="P67" i="19"/>
  <c r="L67" i="19"/>
  <c r="H67" i="19"/>
  <c r="Q66" i="19"/>
  <c r="M66" i="19"/>
  <c r="I66" i="19"/>
  <c r="R65" i="19"/>
  <c r="N65" i="19"/>
  <c r="J65" i="19"/>
  <c r="F65" i="19"/>
  <c r="S64" i="19"/>
  <c r="O64" i="19"/>
  <c r="K64" i="19"/>
  <c r="G64" i="19"/>
  <c r="T63" i="19"/>
  <c r="P63" i="19"/>
  <c r="L63" i="19"/>
  <c r="H63" i="19"/>
  <c r="Q62" i="19"/>
  <c r="M62" i="19"/>
  <c r="I62" i="19"/>
  <c r="R61" i="19"/>
  <c r="N61" i="19"/>
  <c r="J61" i="19"/>
  <c r="F61" i="19"/>
  <c r="S60" i="19"/>
  <c r="O60" i="19"/>
  <c r="K60" i="19"/>
  <c r="G60" i="19"/>
  <c r="T59" i="19"/>
  <c r="P59" i="19"/>
  <c r="L59" i="19"/>
  <c r="H59" i="19"/>
  <c r="Q58" i="19"/>
  <c r="M58" i="19"/>
  <c r="I58" i="19"/>
  <c r="R57" i="19"/>
  <c r="N57" i="19"/>
  <c r="J57" i="19"/>
  <c r="F57" i="19"/>
  <c r="S56" i="19"/>
  <c r="O56" i="19"/>
  <c r="K56" i="19"/>
  <c r="T74" i="19"/>
  <c r="P74" i="19"/>
  <c r="L74" i="19"/>
  <c r="H74" i="19"/>
  <c r="Q73" i="19"/>
  <c r="M73" i="19"/>
  <c r="I73" i="19"/>
  <c r="R72" i="19"/>
  <c r="N72" i="19"/>
  <c r="J72" i="19"/>
  <c r="F72" i="19"/>
  <c r="S71" i="19"/>
  <c r="O71" i="19"/>
  <c r="K71" i="19"/>
  <c r="G71" i="19"/>
  <c r="T70" i="19"/>
  <c r="P70" i="19"/>
  <c r="L70" i="19"/>
  <c r="H70" i="19"/>
  <c r="Q69" i="19"/>
  <c r="M69" i="19"/>
  <c r="I69" i="19"/>
  <c r="R68" i="19"/>
  <c r="N68" i="19"/>
  <c r="J68" i="19"/>
  <c r="F68" i="19"/>
  <c r="S67" i="19"/>
  <c r="O67" i="19"/>
  <c r="K67" i="19"/>
  <c r="G67" i="19"/>
  <c r="T66" i="19"/>
  <c r="P66" i="19"/>
  <c r="L66" i="19"/>
  <c r="H66" i="19"/>
  <c r="Q65" i="19"/>
  <c r="M65" i="19"/>
  <c r="I65" i="19"/>
  <c r="R64" i="19"/>
  <c r="N64" i="19"/>
  <c r="J64" i="19"/>
  <c r="F64" i="19"/>
  <c r="S63" i="19"/>
  <c r="O63" i="19"/>
  <c r="K63" i="19"/>
  <c r="G63" i="19"/>
  <c r="T62" i="19"/>
  <c r="P62" i="19"/>
  <c r="L62" i="19"/>
  <c r="H62" i="19"/>
  <c r="Q61" i="19"/>
  <c r="M61" i="19"/>
  <c r="I61" i="19"/>
  <c r="R60" i="19"/>
  <c r="N60" i="19"/>
  <c r="J60" i="19"/>
  <c r="F60" i="19"/>
  <c r="S74" i="19"/>
  <c r="O74" i="19"/>
  <c r="K74" i="19"/>
  <c r="G74" i="19"/>
  <c r="T73" i="19"/>
  <c r="P73" i="19"/>
  <c r="L73" i="19"/>
  <c r="H73" i="19"/>
  <c r="Q72" i="19"/>
  <c r="M72" i="19"/>
  <c r="I72" i="19"/>
  <c r="R71" i="19"/>
  <c r="N71" i="19"/>
  <c r="J71" i="19"/>
  <c r="F71" i="19"/>
  <c r="S70" i="19"/>
  <c r="O70" i="19"/>
  <c r="K70" i="19"/>
  <c r="G70" i="19"/>
  <c r="T69" i="19"/>
  <c r="P69" i="19"/>
  <c r="L69" i="19"/>
  <c r="H69" i="19"/>
  <c r="Q68" i="19"/>
  <c r="M68" i="19"/>
  <c r="I68" i="19"/>
  <c r="R67" i="19"/>
  <c r="N67" i="19"/>
  <c r="J67" i="19"/>
  <c r="F67" i="19"/>
  <c r="S66" i="19"/>
  <c r="O66" i="19"/>
  <c r="K66" i="19"/>
  <c r="G66" i="19"/>
  <c r="T65" i="19"/>
  <c r="P65" i="19"/>
  <c r="L65" i="19"/>
  <c r="H65" i="19"/>
  <c r="Q64" i="19"/>
  <c r="M64" i="19"/>
  <c r="I64" i="19"/>
  <c r="R63" i="19"/>
  <c r="N63" i="19"/>
  <c r="J63" i="19"/>
  <c r="F63" i="19"/>
  <c r="S62" i="19"/>
  <c r="O62" i="19"/>
  <c r="K62" i="19"/>
  <c r="G62" i="19"/>
  <c r="T61" i="19"/>
  <c r="P61" i="19"/>
  <c r="L61" i="19"/>
  <c r="H61" i="19"/>
  <c r="Q60" i="19"/>
  <c r="M60" i="19"/>
  <c r="I60" i="19"/>
  <c r="R59" i="19"/>
  <c r="N59" i="19"/>
  <c r="J59" i="19"/>
  <c r="F59" i="19"/>
  <c r="S58" i="19"/>
  <c r="O58" i="19"/>
  <c r="K58" i="19"/>
  <c r="G58" i="19"/>
  <c r="T57" i="19"/>
  <c r="P57" i="19"/>
  <c r="L57" i="19"/>
  <c r="H57" i="19"/>
  <c r="Q56" i="19"/>
  <c r="M56" i="19"/>
  <c r="I56" i="19"/>
  <c r="G56" i="19"/>
  <c r="N56" i="19"/>
  <c r="M57" i="19"/>
  <c r="L58" i="19"/>
  <c r="T58" i="19"/>
  <c r="K59" i="19"/>
  <c r="S59" i="19"/>
  <c r="P60" i="19"/>
  <c r="O61" i="19"/>
  <c r="N62" i="19"/>
  <c r="M63" i="19"/>
  <c r="L64" i="19"/>
  <c r="K65" i="19"/>
  <c r="J66" i="19"/>
  <c r="I67" i="19"/>
  <c r="H68" i="19"/>
  <c r="G69" i="19"/>
  <c r="H56" i="19"/>
  <c r="P56" i="19"/>
  <c r="G57" i="19"/>
  <c r="O57" i="19"/>
  <c r="F58" i="19"/>
  <c r="N58" i="19"/>
  <c r="M59" i="19"/>
  <c r="T60" i="19"/>
  <c r="S61" i="19"/>
  <c r="R62" i="19"/>
  <c r="Q63" i="19"/>
  <c r="P64" i="19"/>
  <c r="O65" i="19"/>
  <c r="N66" i="19"/>
  <c r="M67" i="19"/>
  <c r="L68" i="19"/>
  <c r="K69" i="19"/>
  <c r="J56" i="19"/>
  <c r="R56" i="19"/>
  <c r="I57" i="19"/>
  <c r="Q57" i="19"/>
  <c r="H58" i="19"/>
  <c r="P58" i="19"/>
  <c r="G59" i="19"/>
  <c r="O59" i="19"/>
  <c r="H60" i="19"/>
  <c r="G61" i="19"/>
  <c r="F62" i="19"/>
  <c r="T64" i="19"/>
  <c r="S65" i="19"/>
  <c r="R66" i="19"/>
  <c r="Q67" i="19"/>
  <c r="P68" i="19"/>
  <c r="J131" i="29" l="1"/>
  <c r="K130" i="29"/>
  <c r="L130" i="29"/>
  <c r="J132" i="29" l="1"/>
  <c r="K131" i="29"/>
  <c r="L131" i="29"/>
  <c r="E72" i="19"/>
  <c r="U72" i="19" s="1"/>
  <c r="U47" i="19"/>
  <c r="E64" i="19"/>
  <c r="U64" i="19" s="1"/>
  <c r="U39" i="19"/>
  <c r="E56" i="19"/>
  <c r="U56" i="19" s="1"/>
  <c r="U31" i="19"/>
  <c r="N55" i="19"/>
  <c r="N75" i="19" s="1"/>
  <c r="N50" i="19"/>
  <c r="E70" i="19"/>
  <c r="U70" i="19" s="1"/>
  <c r="U45" i="19"/>
  <c r="E62" i="19"/>
  <c r="U62" i="19" s="1"/>
  <c r="U37" i="19"/>
  <c r="Q55" i="19"/>
  <c r="Q75" i="19" s="1"/>
  <c r="Q50" i="19"/>
  <c r="R55" i="19"/>
  <c r="R75" i="19" s="1"/>
  <c r="R50" i="19"/>
  <c r="P55" i="19"/>
  <c r="P75" i="19" s="1"/>
  <c r="P50" i="19"/>
  <c r="F55" i="19"/>
  <c r="F75" i="19" s="1"/>
  <c r="F50" i="19"/>
  <c r="U46" i="19"/>
  <c r="E71" i="19"/>
  <c r="U71" i="19" s="1"/>
  <c r="U32" i="19"/>
  <c r="E57" i="19"/>
  <c r="U57" i="19" s="1"/>
  <c r="I55" i="19"/>
  <c r="I75" i="19" s="1"/>
  <c r="I50" i="19"/>
  <c r="E73" i="19"/>
  <c r="U73" i="19" s="1"/>
  <c r="U48" i="19"/>
  <c r="G50" i="19"/>
  <c r="G55" i="19"/>
  <c r="G75" i="19" s="1"/>
  <c r="J55" i="19"/>
  <c r="J75" i="19" s="1"/>
  <c r="J50" i="19"/>
  <c r="E69" i="19"/>
  <c r="U69" i="19" s="1"/>
  <c r="U44" i="19"/>
  <c r="U36" i="19"/>
  <c r="E61" i="19"/>
  <c r="U61" i="19" s="1"/>
  <c r="E68" i="19"/>
  <c r="U68" i="19" s="1"/>
  <c r="U43" i="19"/>
  <c r="E60" i="19"/>
  <c r="U60" i="19" s="1"/>
  <c r="U35" i="19"/>
  <c r="S50" i="19"/>
  <c r="S55" i="19"/>
  <c r="S75" i="19" s="1"/>
  <c r="M55" i="19"/>
  <c r="M75" i="19" s="1"/>
  <c r="M50" i="19"/>
  <c r="L55" i="19"/>
  <c r="L75" i="19" s="1"/>
  <c r="L50" i="19"/>
  <c r="U40" i="19"/>
  <c r="E65" i="19"/>
  <c r="U65" i="19" s="1"/>
  <c r="H55" i="19"/>
  <c r="H75" i="19" s="1"/>
  <c r="H50" i="19"/>
  <c r="E74" i="19"/>
  <c r="U74" i="19" s="1"/>
  <c r="U49" i="19"/>
  <c r="E66" i="19"/>
  <c r="U66" i="19" s="1"/>
  <c r="U41" i="19"/>
  <c r="E58" i="19"/>
  <c r="U58" i="19" s="1"/>
  <c r="U33" i="19"/>
  <c r="E63" i="19"/>
  <c r="U63" i="19" s="1"/>
  <c r="U38" i="19"/>
  <c r="K50" i="19"/>
  <c r="K55" i="19"/>
  <c r="K75" i="19" s="1"/>
  <c r="E59" i="19"/>
  <c r="U59" i="19" s="1"/>
  <c r="U34" i="19"/>
  <c r="E67" i="19"/>
  <c r="U67" i="19" s="1"/>
  <c r="U42" i="19"/>
  <c r="O50" i="19"/>
  <c r="O55" i="19"/>
  <c r="O75" i="19" s="1"/>
  <c r="T55" i="19"/>
  <c r="T75" i="19" s="1"/>
  <c r="T50" i="19"/>
  <c r="E55" i="19"/>
  <c r="E50" i="19"/>
  <c r="U30" i="19"/>
  <c r="J133" i="29" l="1"/>
  <c r="K132" i="29"/>
  <c r="L132" i="29"/>
  <c r="S14" i="19"/>
  <c r="S12" i="19"/>
  <c r="S13" i="19"/>
  <c r="U50" i="19"/>
  <c r="E75" i="19"/>
  <c r="U55" i="19"/>
  <c r="J134" i="29" l="1"/>
  <c r="L133" i="29"/>
  <c r="K133" i="29"/>
  <c r="J135" i="29" l="1"/>
  <c r="K134" i="29"/>
  <c r="L134" i="29"/>
  <c r="J136" i="29" l="1"/>
  <c r="K135" i="29"/>
  <c r="L135" i="29"/>
  <c r="F53" i="1" l="1"/>
  <c r="G53" i="1" s="1"/>
  <c r="O55" i="29"/>
  <c r="F48" i="1"/>
  <c r="G48" i="1" s="1"/>
  <c r="O50" i="29"/>
  <c r="J137" i="29"/>
  <c r="K136" i="29"/>
  <c r="L136" i="29"/>
  <c r="N55" i="29" l="1"/>
  <c r="Q55" i="29" s="1"/>
  <c r="P55" i="29"/>
  <c r="P50" i="29"/>
  <c r="N50" i="29"/>
  <c r="Q50" i="29" s="1"/>
  <c r="J138" i="29"/>
  <c r="L137" i="29"/>
  <c r="K137" i="29"/>
  <c r="O47" i="29"/>
  <c r="E173" i="36" l="1"/>
  <c r="F173" i="36" s="1"/>
  <c r="G173" i="36" s="1"/>
  <c r="P47" i="29"/>
  <c r="N47" i="29"/>
  <c r="Q47" i="29" s="1"/>
  <c r="R50" i="29"/>
  <c r="S50" i="29"/>
  <c r="S55" i="29"/>
  <c r="R55" i="29"/>
  <c r="J139" i="29"/>
  <c r="L138" i="29"/>
  <c r="K138" i="29"/>
  <c r="V50" i="29" l="1"/>
  <c r="E50" i="29" s="1"/>
  <c r="F50" i="29" s="1"/>
  <c r="G50" i="29" s="1"/>
  <c r="V55" i="29"/>
  <c r="E55" i="29" s="1"/>
  <c r="F55" i="29" s="1"/>
  <c r="G55" i="29" s="1"/>
  <c r="R47" i="29"/>
  <c r="S47" i="29"/>
  <c r="J140" i="29"/>
  <c r="K139" i="29"/>
  <c r="L139" i="29"/>
  <c r="V47" i="29" l="1"/>
  <c r="E47" i="29" s="1"/>
  <c r="F47" i="29" s="1"/>
  <c r="G47" i="29" s="1"/>
  <c r="J141" i="29"/>
  <c r="K140" i="29"/>
  <c r="L140" i="29"/>
  <c r="J142" i="29" l="1"/>
  <c r="K141" i="29"/>
  <c r="L141" i="29"/>
  <c r="J143" i="29" l="1"/>
  <c r="K142" i="29"/>
  <c r="L142" i="29"/>
  <c r="G13" i="19"/>
  <c r="G29" i="1"/>
  <c r="G14" i="19" l="1"/>
  <c r="Z21" i="19"/>
  <c r="J144" i="29"/>
  <c r="K143" i="29"/>
  <c r="L143" i="29"/>
  <c r="S21" i="19"/>
  <c r="J145" i="29" l="1"/>
  <c r="K144" i="29"/>
  <c r="L144" i="29"/>
  <c r="J146" i="29" l="1"/>
  <c r="K145" i="29"/>
  <c r="L145" i="29"/>
  <c r="O52" i="29" l="1"/>
  <c r="N52" i="29" s="1"/>
  <c r="Q52" i="29" s="1"/>
  <c r="F50" i="1"/>
  <c r="G50" i="1" s="1"/>
  <c r="F64" i="1"/>
  <c r="O66" i="29"/>
  <c r="J147" i="29"/>
  <c r="K146" i="29"/>
  <c r="L146" i="29"/>
  <c r="D9" i="20" a="1"/>
  <c r="G64" i="1" l="1"/>
  <c r="P52" i="29"/>
  <c r="R52" i="29" s="1"/>
  <c r="P66" i="29"/>
  <c r="N66" i="29"/>
  <c r="Q66" i="29" s="1"/>
  <c r="J148" i="29"/>
  <c r="K147" i="29"/>
  <c r="L147" i="29"/>
  <c r="D9" i="20"/>
  <c r="S8" i="19" s="1"/>
  <c r="D5" i="20" a="1"/>
  <c r="S52" i="29" l="1"/>
  <c r="V52" i="29" s="1"/>
  <c r="E52" i="29" s="1"/>
  <c r="F52" i="29" s="1"/>
  <c r="G52" i="29" s="1"/>
  <c r="R66" i="29"/>
  <c r="S66" i="29"/>
  <c r="J149" i="29"/>
  <c r="K148" i="29"/>
  <c r="L148" i="29"/>
  <c r="D5" i="20"/>
  <c r="S4" i="19" s="1"/>
  <c r="D7" i="20" a="1"/>
  <c r="V66" i="29" l="1"/>
  <c r="E66" i="29" s="1"/>
  <c r="F66" i="29" s="1"/>
  <c r="G66" i="29" s="1"/>
  <c r="J150" i="29"/>
  <c r="L149" i="29"/>
  <c r="K149" i="29"/>
  <c r="E6" i="1"/>
  <c r="E6" i="29"/>
  <c r="D7" i="20"/>
  <c r="S6" i="19" s="1"/>
  <c r="C180" i="19" s="1"/>
  <c r="D6" i="20" a="1"/>
  <c r="J151" i="29" l="1"/>
  <c r="K150" i="29"/>
  <c r="L150" i="29"/>
  <c r="D6" i="20"/>
  <c r="S5" i="19" s="1"/>
  <c r="H31" i="20" a="1"/>
  <c r="E182" i="19" l="1"/>
  <c r="E206" i="19" s="1"/>
  <c r="E230" i="19" s="1"/>
  <c r="E185" i="19"/>
  <c r="Q191" i="19"/>
  <c r="Q215" i="19" s="1"/>
  <c r="Q239" i="19" s="1"/>
  <c r="Q263" i="19" s="1"/>
  <c r="O188" i="19"/>
  <c r="O212" i="19" s="1"/>
  <c r="O236" i="19" s="1"/>
  <c r="O260" i="19" s="1"/>
  <c r="N201" i="19"/>
  <c r="N225" i="19" s="1"/>
  <c r="N249" i="19" s="1"/>
  <c r="N273" i="19" s="1"/>
  <c r="G201" i="19"/>
  <c r="G225" i="19" s="1"/>
  <c r="G249" i="19" s="1"/>
  <c r="G273" i="19" s="1"/>
  <c r="K182" i="19"/>
  <c r="K206" i="19" s="1"/>
  <c r="K230" i="19" s="1"/>
  <c r="K254" i="19" s="1"/>
  <c r="F191" i="19"/>
  <c r="F215" i="19" s="1"/>
  <c r="F239" i="19" s="1"/>
  <c r="F263" i="19" s="1"/>
  <c r="K198" i="19"/>
  <c r="K222" i="19" s="1"/>
  <c r="K246" i="19" s="1"/>
  <c r="K270" i="19" s="1"/>
  <c r="Q185" i="19"/>
  <c r="Q209" i="19" s="1"/>
  <c r="Q233" i="19" s="1"/>
  <c r="Q257" i="19" s="1"/>
  <c r="M194" i="19"/>
  <c r="M218" i="19" s="1"/>
  <c r="M242" i="19" s="1"/>
  <c r="M266" i="19" s="1"/>
  <c r="Q201" i="19"/>
  <c r="Q225" i="19" s="1"/>
  <c r="Q249" i="19" s="1"/>
  <c r="Q273" i="19" s="1"/>
  <c r="M200" i="19"/>
  <c r="M224" i="19" s="1"/>
  <c r="M248" i="19" s="1"/>
  <c r="M272" i="19" s="1"/>
  <c r="M197" i="19"/>
  <c r="M221" i="19" s="1"/>
  <c r="M245" i="19" s="1"/>
  <c r="M269" i="19" s="1"/>
  <c r="N187" i="19"/>
  <c r="N211" i="19" s="1"/>
  <c r="N235" i="19" s="1"/>
  <c r="N259" i="19" s="1"/>
  <c r="S190" i="19"/>
  <c r="S214" i="19" s="1"/>
  <c r="S238" i="19" s="1"/>
  <c r="S262" i="19" s="1"/>
  <c r="S186" i="19"/>
  <c r="S210" i="19" s="1"/>
  <c r="S234" i="19" s="1"/>
  <c r="S258" i="19" s="1"/>
  <c r="H194" i="19"/>
  <c r="H218" i="19" s="1"/>
  <c r="H242" i="19" s="1"/>
  <c r="H266" i="19" s="1"/>
  <c r="E200" i="19"/>
  <c r="E224" i="19" s="1"/>
  <c r="E248" i="19" s="1"/>
  <c r="E272" i="19" s="1"/>
  <c r="M187" i="19"/>
  <c r="M211" i="19" s="1"/>
  <c r="M235" i="19" s="1"/>
  <c r="M259" i="19" s="1"/>
  <c r="H189" i="19"/>
  <c r="H213" i="19" s="1"/>
  <c r="H237" i="19" s="1"/>
  <c r="H261" i="19" s="1"/>
  <c r="M192" i="19"/>
  <c r="M216" i="19" s="1"/>
  <c r="M240" i="19" s="1"/>
  <c r="M264" i="19" s="1"/>
  <c r="O185" i="19"/>
  <c r="O209" i="19" s="1"/>
  <c r="O233" i="19" s="1"/>
  <c r="O257" i="19" s="1"/>
  <c r="T192" i="19"/>
  <c r="T216" i="19" s="1"/>
  <c r="T240" i="19" s="1"/>
  <c r="T264" i="19" s="1"/>
  <c r="T193" i="19"/>
  <c r="T217" i="19" s="1"/>
  <c r="T241" i="19" s="1"/>
  <c r="T265" i="19" s="1"/>
  <c r="I193" i="19"/>
  <c r="I217" i="19" s="1"/>
  <c r="I241" i="19" s="1"/>
  <c r="I265" i="19" s="1"/>
  <c r="E187" i="19"/>
  <c r="E211" i="19" s="1"/>
  <c r="E235" i="19" s="1"/>
  <c r="E259" i="19" s="1"/>
  <c r="E183" i="19"/>
  <c r="E207" i="19" s="1"/>
  <c r="E231" i="19" s="1"/>
  <c r="E255" i="19" s="1"/>
  <c r="J196" i="19"/>
  <c r="J220" i="19" s="1"/>
  <c r="J244" i="19" s="1"/>
  <c r="J268" i="19" s="1"/>
  <c r="L185" i="19"/>
  <c r="L209" i="19" s="1"/>
  <c r="L233" i="19" s="1"/>
  <c r="L257" i="19" s="1"/>
  <c r="G195" i="19"/>
  <c r="G219" i="19" s="1"/>
  <c r="G243" i="19" s="1"/>
  <c r="G267" i="19" s="1"/>
  <c r="M183" i="19"/>
  <c r="M207" i="19" s="1"/>
  <c r="M231" i="19" s="1"/>
  <c r="M255" i="19" s="1"/>
  <c r="F200" i="19"/>
  <c r="F224" i="19" s="1"/>
  <c r="F248" i="19" s="1"/>
  <c r="F272" i="19" s="1"/>
  <c r="N196" i="19"/>
  <c r="N220" i="19" s="1"/>
  <c r="N244" i="19" s="1"/>
  <c r="N268" i="19" s="1"/>
  <c r="M190" i="19"/>
  <c r="M214" i="19" s="1"/>
  <c r="M238" i="19" s="1"/>
  <c r="M262" i="19" s="1"/>
  <c r="J191" i="19"/>
  <c r="J215" i="19" s="1"/>
  <c r="J239" i="19" s="1"/>
  <c r="J263" i="19" s="1"/>
  <c r="O198" i="19"/>
  <c r="O222" i="19" s="1"/>
  <c r="O246" i="19" s="1"/>
  <c r="O270" i="19" s="1"/>
  <c r="T186" i="19"/>
  <c r="T210" i="19" s="1"/>
  <c r="T234" i="19" s="1"/>
  <c r="T258" i="19" s="1"/>
  <c r="T189" i="19"/>
  <c r="T213" i="19" s="1"/>
  <c r="T237" i="19" s="1"/>
  <c r="T261" i="19" s="1"/>
  <c r="G191" i="19"/>
  <c r="G215" i="19" s="1"/>
  <c r="G239" i="19" s="1"/>
  <c r="G263" i="19" s="1"/>
  <c r="E189" i="19"/>
  <c r="E213" i="19" s="1"/>
  <c r="E237" i="19" s="1"/>
  <c r="E261" i="19" s="1"/>
  <c r="O195" i="19"/>
  <c r="O219" i="19" s="1"/>
  <c r="O243" i="19" s="1"/>
  <c r="O267" i="19" s="1"/>
  <c r="R185" i="19"/>
  <c r="R209" i="19" s="1"/>
  <c r="R233" i="19" s="1"/>
  <c r="R257" i="19" s="1"/>
  <c r="F196" i="19"/>
  <c r="F220" i="19" s="1"/>
  <c r="F244" i="19" s="1"/>
  <c r="F268" i="19" s="1"/>
  <c r="F192" i="19"/>
  <c r="F216" i="19" s="1"/>
  <c r="F240" i="19" s="1"/>
  <c r="F264" i="19" s="1"/>
  <c r="R189" i="19"/>
  <c r="R213" i="19" s="1"/>
  <c r="R237" i="19" s="1"/>
  <c r="R261" i="19" s="1"/>
  <c r="G200" i="19"/>
  <c r="G224" i="19" s="1"/>
  <c r="G248" i="19" s="1"/>
  <c r="G272" i="19" s="1"/>
  <c r="J194" i="19"/>
  <c r="J218" i="19" s="1"/>
  <c r="J242" i="19" s="1"/>
  <c r="J266" i="19" s="1"/>
  <c r="M185" i="19"/>
  <c r="M209" i="19" s="1"/>
  <c r="M233" i="19" s="1"/>
  <c r="M257" i="19" s="1"/>
  <c r="I189" i="19"/>
  <c r="I213" i="19" s="1"/>
  <c r="I237" i="19" s="1"/>
  <c r="I261" i="19" s="1"/>
  <c r="L195" i="19"/>
  <c r="L219" i="19" s="1"/>
  <c r="L243" i="19" s="1"/>
  <c r="L267" i="19" s="1"/>
  <c r="J201" i="19"/>
  <c r="J225" i="19" s="1"/>
  <c r="J249" i="19" s="1"/>
  <c r="J273" i="19" s="1"/>
  <c r="N192" i="19"/>
  <c r="N216" i="19" s="1"/>
  <c r="N240" i="19" s="1"/>
  <c r="N264" i="19" s="1"/>
  <c r="N189" i="19"/>
  <c r="N213" i="19" s="1"/>
  <c r="N237" i="19" s="1"/>
  <c r="N261" i="19" s="1"/>
  <c r="F197" i="19"/>
  <c r="F221" i="19" s="1"/>
  <c r="F245" i="19" s="1"/>
  <c r="F269" i="19" s="1"/>
  <c r="F198" i="19"/>
  <c r="F222" i="19" s="1"/>
  <c r="F246" i="19" s="1"/>
  <c r="F270" i="19" s="1"/>
  <c r="L199" i="19"/>
  <c r="L223" i="19" s="1"/>
  <c r="L247" i="19" s="1"/>
  <c r="L271" i="19" s="1"/>
  <c r="Q192" i="19"/>
  <c r="Q216" i="19" s="1"/>
  <c r="Q240" i="19" s="1"/>
  <c r="Q264" i="19" s="1"/>
  <c r="K197" i="19"/>
  <c r="K221" i="19" s="1"/>
  <c r="K245" i="19" s="1"/>
  <c r="K269" i="19" s="1"/>
  <c r="T190" i="19"/>
  <c r="T214" i="19" s="1"/>
  <c r="T238" i="19" s="1"/>
  <c r="T262" i="19" s="1"/>
  <c r="N198" i="19"/>
  <c r="N222" i="19" s="1"/>
  <c r="N246" i="19" s="1"/>
  <c r="N270" i="19" s="1"/>
  <c r="I185" i="19"/>
  <c r="I209" i="19" s="1"/>
  <c r="I233" i="19" s="1"/>
  <c r="I257" i="19" s="1"/>
  <c r="M201" i="19"/>
  <c r="M225" i="19" s="1"/>
  <c r="M249" i="19" s="1"/>
  <c r="M273" i="19" s="1"/>
  <c r="F199" i="19"/>
  <c r="F223" i="19" s="1"/>
  <c r="F247" i="19" s="1"/>
  <c r="F271" i="19" s="1"/>
  <c r="P193" i="19"/>
  <c r="P217" i="19" s="1"/>
  <c r="P241" i="19" s="1"/>
  <c r="P265" i="19" s="1"/>
  <c r="F190" i="19"/>
  <c r="F214" i="19" s="1"/>
  <c r="F238" i="19" s="1"/>
  <c r="F262" i="19" s="1"/>
  <c r="J184" i="19"/>
  <c r="J208" i="19" s="1"/>
  <c r="J232" i="19" s="1"/>
  <c r="J256" i="19" s="1"/>
  <c r="I190" i="19"/>
  <c r="I214" i="19" s="1"/>
  <c r="I238" i="19" s="1"/>
  <c r="I262" i="19" s="1"/>
  <c r="K188" i="19"/>
  <c r="K212" i="19" s="1"/>
  <c r="K236" i="19" s="1"/>
  <c r="K260" i="19" s="1"/>
  <c r="J190" i="19"/>
  <c r="J214" i="19" s="1"/>
  <c r="J238" i="19" s="1"/>
  <c r="J262" i="19" s="1"/>
  <c r="G193" i="19"/>
  <c r="G217" i="19" s="1"/>
  <c r="G241" i="19" s="1"/>
  <c r="G265" i="19" s="1"/>
  <c r="O201" i="19"/>
  <c r="O225" i="19" s="1"/>
  <c r="O249" i="19" s="1"/>
  <c r="O273" i="19" s="1"/>
  <c r="R190" i="19"/>
  <c r="R214" i="19" s="1"/>
  <c r="R238" i="19" s="1"/>
  <c r="R262" i="19" s="1"/>
  <c r="S192" i="19"/>
  <c r="S216" i="19" s="1"/>
  <c r="S240" i="19" s="1"/>
  <c r="S264" i="19" s="1"/>
  <c r="F189" i="19"/>
  <c r="F213" i="19" s="1"/>
  <c r="F237" i="19" s="1"/>
  <c r="F261" i="19" s="1"/>
  <c r="S194" i="19"/>
  <c r="S218" i="19" s="1"/>
  <c r="S242" i="19" s="1"/>
  <c r="S266" i="19" s="1"/>
  <c r="I199" i="19"/>
  <c r="I223" i="19" s="1"/>
  <c r="I247" i="19" s="1"/>
  <c r="I271" i="19" s="1"/>
  <c r="I186" i="19"/>
  <c r="I210" i="19" s="1"/>
  <c r="I234" i="19" s="1"/>
  <c r="I258" i="19" s="1"/>
  <c r="P189" i="19"/>
  <c r="P213" i="19" s="1"/>
  <c r="P237" i="19" s="1"/>
  <c r="P261" i="19" s="1"/>
  <c r="K195" i="19"/>
  <c r="K219" i="19" s="1"/>
  <c r="K243" i="19" s="1"/>
  <c r="K267" i="19" s="1"/>
  <c r="O184" i="19"/>
  <c r="O208" i="19" s="1"/>
  <c r="O232" i="19" s="1"/>
  <c r="O256" i="19" s="1"/>
  <c r="R188" i="19"/>
  <c r="R212" i="19" s="1"/>
  <c r="R236" i="19" s="1"/>
  <c r="R260" i="19" s="1"/>
  <c r="S196" i="19"/>
  <c r="S220" i="19" s="1"/>
  <c r="S244" i="19" s="1"/>
  <c r="S268" i="19" s="1"/>
  <c r="T184" i="19"/>
  <c r="T208" i="19" s="1"/>
  <c r="T232" i="19" s="1"/>
  <c r="T256" i="19" s="1"/>
  <c r="O191" i="19"/>
  <c r="O215" i="19" s="1"/>
  <c r="O239" i="19" s="1"/>
  <c r="O263" i="19" s="1"/>
  <c r="Q182" i="19"/>
  <c r="Q206" i="19" s="1"/>
  <c r="Q230" i="19" s="1"/>
  <c r="Q254" i="19" s="1"/>
  <c r="N191" i="19"/>
  <c r="N215" i="19" s="1"/>
  <c r="N239" i="19" s="1"/>
  <c r="N263" i="19" s="1"/>
  <c r="S182" i="19"/>
  <c r="S206" i="19" s="1"/>
  <c r="S230" i="19" s="1"/>
  <c r="S254" i="19" s="1"/>
  <c r="P183" i="19"/>
  <c r="P207" i="19" s="1"/>
  <c r="P231" i="19" s="1"/>
  <c r="P255" i="19" s="1"/>
  <c r="F182" i="19"/>
  <c r="F206" i="19" s="1"/>
  <c r="F230" i="19" s="1"/>
  <c r="F254" i="19" s="1"/>
  <c r="M182" i="19"/>
  <c r="M206" i="19" s="1"/>
  <c r="M230" i="19" s="1"/>
  <c r="M254" i="19" s="1"/>
  <c r="P198" i="19"/>
  <c r="P222" i="19" s="1"/>
  <c r="P246" i="19" s="1"/>
  <c r="P270" i="19" s="1"/>
  <c r="S197" i="19"/>
  <c r="S221" i="19" s="1"/>
  <c r="S245" i="19" s="1"/>
  <c r="S269" i="19" s="1"/>
  <c r="O200" i="19"/>
  <c r="O224" i="19" s="1"/>
  <c r="O248" i="19" s="1"/>
  <c r="O272" i="19" s="1"/>
  <c r="T198" i="19"/>
  <c r="T222" i="19" s="1"/>
  <c r="T246" i="19" s="1"/>
  <c r="T270" i="19" s="1"/>
  <c r="F187" i="19"/>
  <c r="F211" i="19" s="1"/>
  <c r="F235" i="19" s="1"/>
  <c r="F259" i="19" s="1"/>
  <c r="N188" i="19"/>
  <c r="N212" i="19" s="1"/>
  <c r="N236" i="19" s="1"/>
  <c r="N260" i="19" s="1"/>
  <c r="T196" i="19"/>
  <c r="T220" i="19" s="1"/>
  <c r="T244" i="19" s="1"/>
  <c r="T268" i="19" s="1"/>
  <c r="I187" i="19"/>
  <c r="I211" i="19" s="1"/>
  <c r="I235" i="19" s="1"/>
  <c r="I259" i="19" s="1"/>
  <c r="R186" i="19"/>
  <c r="R210" i="19" s="1"/>
  <c r="R234" i="19" s="1"/>
  <c r="R258" i="19" s="1"/>
  <c r="M186" i="19"/>
  <c r="M210" i="19" s="1"/>
  <c r="M234" i="19" s="1"/>
  <c r="M258" i="19" s="1"/>
  <c r="J189" i="19"/>
  <c r="J213" i="19" s="1"/>
  <c r="J237" i="19" s="1"/>
  <c r="J261" i="19" s="1"/>
  <c r="N190" i="19"/>
  <c r="N214" i="19" s="1"/>
  <c r="N238" i="19" s="1"/>
  <c r="N262" i="19" s="1"/>
  <c r="F194" i="19"/>
  <c r="F218" i="19" s="1"/>
  <c r="F242" i="19" s="1"/>
  <c r="F266" i="19" s="1"/>
  <c r="H182" i="19"/>
  <c r="H206" i="19" s="1"/>
  <c r="H230" i="19" s="1"/>
  <c r="H254" i="19" s="1"/>
  <c r="J193" i="19"/>
  <c r="J217" i="19" s="1"/>
  <c r="J241" i="19" s="1"/>
  <c r="J265" i="19" s="1"/>
  <c r="T200" i="19"/>
  <c r="T224" i="19" s="1"/>
  <c r="T248" i="19" s="1"/>
  <c r="T272" i="19" s="1"/>
  <c r="G182" i="19"/>
  <c r="G206" i="19" s="1"/>
  <c r="G230" i="19" s="1"/>
  <c r="G254" i="19" s="1"/>
  <c r="F193" i="19"/>
  <c r="F217" i="19" s="1"/>
  <c r="F241" i="19" s="1"/>
  <c r="F265" i="19" s="1"/>
  <c r="K186" i="19"/>
  <c r="K210" i="19" s="1"/>
  <c r="K234" i="19" s="1"/>
  <c r="K258" i="19" s="1"/>
  <c r="I184" i="19"/>
  <c r="I208" i="19" s="1"/>
  <c r="I232" i="19" s="1"/>
  <c r="I256" i="19" s="1"/>
  <c r="E201" i="19"/>
  <c r="E225" i="19" s="1"/>
  <c r="E249" i="19" s="1"/>
  <c r="E273" i="19" s="1"/>
  <c r="I194" i="19"/>
  <c r="I218" i="19" s="1"/>
  <c r="I242" i="19" s="1"/>
  <c r="I266" i="19" s="1"/>
  <c r="S191" i="19"/>
  <c r="S215" i="19" s="1"/>
  <c r="S239" i="19" s="1"/>
  <c r="S263" i="19" s="1"/>
  <c r="O196" i="19"/>
  <c r="O220" i="19" s="1"/>
  <c r="O244" i="19" s="1"/>
  <c r="O268" i="19" s="1"/>
  <c r="L200" i="19"/>
  <c r="L224" i="19" s="1"/>
  <c r="L248" i="19" s="1"/>
  <c r="L272" i="19" s="1"/>
  <c r="T194" i="19"/>
  <c r="T218" i="19" s="1"/>
  <c r="T242" i="19" s="1"/>
  <c r="T266" i="19" s="1"/>
  <c r="N197" i="19"/>
  <c r="N221" i="19" s="1"/>
  <c r="N245" i="19" s="1"/>
  <c r="N269" i="19" s="1"/>
  <c r="O193" i="19"/>
  <c r="O217" i="19" s="1"/>
  <c r="O241" i="19" s="1"/>
  <c r="O265" i="19" s="1"/>
  <c r="J188" i="19"/>
  <c r="J212" i="19" s="1"/>
  <c r="J236" i="19" s="1"/>
  <c r="J260" i="19" s="1"/>
  <c r="G192" i="19"/>
  <c r="G216" i="19" s="1"/>
  <c r="G240" i="19" s="1"/>
  <c r="G264" i="19" s="1"/>
  <c r="R196" i="19"/>
  <c r="R220" i="19" s="1"/>
  <c r="R244" i="19" s="1"/>
  <c r="R268" i="19" s="1"/>
  <c r="P185" i="19"/>
  <c r="P209" i="19" s="1"/>
  <c r="P233" i="19" s="1"/>
  <c r="P257" i="19" s="1"/>
  <c r="G188" i="19"/>
  <c r="G212" i="19" s="1"/>
  <c r="G236" i="19" s="1"/>
  <c r="G260" i="19" s="1"/>
  <c r="Q199" i="19"/>
  <c r="Q223" i="19" s="1"/>
  <c r="Q247" i="19" s="1"/>
  <c r="Q271" i="19" s="1"/>
  <c r="P186" i="19"/>
  <c r="P210" i="19" s="1"/>
  <c r="P234" i="19" s="1"/>
  <c r="P258" i="19" s="1"/>
  <c r="L191" i="19"/>
  <c r="L215" i="19" s="1"/>
  <c r="L239" i="19" s="1"/>
  <c r="L263" i="19" s="1"/>
  <c r="M195" i="19"/>
  <c r="M219" i="19" s="1"/>
  <c r="M243" i="19" s="1"/>
  <c r="M267" i="19" s="1"/>
  <c r="P191" i="19"/>
  <c r="P215" i="19" s="1"/>
  <c r="P239" i="19" s="1"/>
  <c r="P263" i="19" s="1"/>
  <c r="I192" i="19"/>
  <c r="I216" i="19" s="1"/>
  <c r="I240" i="19" s="1"/>
  <c r="I264" i="19" s="1"/>
  <c r="H199" i="19"/>
  <c r="H223" i="19" s="1"/>
  <c r="H247" i="19" s="1"/>
  <c r="H271" i="19" s="1"/>
  <c r="H198" i="19"/>
  <c r="H222" i="19" s="1"/>
  <c r="H246" i="19" s="1"/>
  <c r="H270" i="19" s="1"/>
  <c r="S183" i="19"/>
  <c r="S207" i="19" s="1"/>
  <c r="S231" i="19" s="1"/>
  <c r="S255" i="19" s="1"/>
  <c r="H195" i="19"/>
  <c r="H219" i="19" s="1"/>
  <c r="H243" i="19" s="1"/>
  <c r="H267" i="19" s="1"/>
  <c r="H183" i="19"/>
  <c r="H207" i="19" s="1"/>
  <c r="H231" i="19" s="1"/>
  <c r="H255" i="19" s="1"/>
  <c r="G189" i="19"/>
  <c r="G213" i="19" s="1"/>
  <c r="G237" i="19" s="1"/>
  <c r="G261" i="19" s="1"/>
  <c r="G186" i="19"/>
  <c r="G210" i="19" s="1"/>
  <c r="G234" i="19" s="1"/>
  <c r="G258" i="19" s="1"/>
  <c r="M193" i="19"/>
  <c r="M217" i="19" s="1"/>
  <c r="M241" i="19" s="1"/>
  <c r="M265" i="19" s="1"/>
  <c r="P194" i="19"/>
  <c r="P218" i="19" s="1"/>
  <c r="P242" i="19" s="1"/>
  <c r="P266" i="19" s="1"/>
  <c r="L190" i="19"/>
  <c r="L214" i="19" s="1"/>
  <c r="L238" i="19" s="1"/>
  <c r="L262" i="19" s="1"/>
  <c r="L188" i="19"/>
  <c r="L212" i="19" s="1"/>
  <c r="L236" i="19" s="1"/>
  <c r="L260" i="19" s="1"/>
  <c r="G194" i="19"/>
  <c r="G218" i="19" s="1"/>
  <c r="G242" i="19" s="1"/>
  <c r="G266" i="19" s="1"/>
  <c r="K184" i="19"/>
  <c r="K208" i="19" s="1"/>
  <c r="K232" i="19" s="1"/>
  <c r="K256" i="19" s="1"/>
  <c r="R184" i="19"/>
  <c r="R208" i="19" s="1"/>
  <c r="R232" i="19" s="1"/>
  <c r="R256" i="19" s="1"/>
  <c r="P187" i="19"/>
  <c r="P211" i="19" s="1"/>
  <c r="P235" i="19" s="1"/>
  <c r="P259" i="19" s="1"/>
  <c r="H197" i="19"/>
  <c r="H221" i="19" s="1"/>
  <c r="H245" i="19" s="1"/>
  <c r="H269" i="19" s="1"/>
  <c r="L192" i="19"/>
  <c r="L216" i="19" s="1"/>
  <c r="L240" i="19" s="1"/>
  <c r="L264" i="19" s="1"/>
  <c r="Q186" i="19"/>
  <c r="Q210" i="19" s="1"/>
  <c r="Q234" i="19" s="1"/>
  <c r="Q258" i="19" s="1"/>
  <c r="N183" i="19"/>
  <c r="N207" i="19" s="1"/>
  <c r="N231" i="19" s="1"/>
  <c r="N255" i="19" s="1"/>
  <c r="N182" i="19"/>
  <c r="N206" i="19" s="1"/>
  <c r="N230" i="19" s="1"/>
  <c r="N254" i="19" s="1"/>
  <c r="H186" i="19"/>
  <c r="H210" i="19" s="1"/>
  <c r="H234" i="19" s="1"/>
  <c r="H258" i="19" s="1"/>
  <c r="K201" i="19"/>
  <c r="K225" i="19" s="1"/>
  <c r="K249" i="19" s="1"/>
  <c r="K273" i="19" s="1"/>
  <c r="J198" i="19"/>
  <c r="J222" i="19" s="1"/>
  <c r="J246" i="19" s="1"/>
  <c r="J270" i="19" s="1"/>
  <c r="O182" i="19"/>
  <c r="O206" i="19" s="1"/>
  <c r="O230" i="19" s="1"/>
  <c r="O254" i="19" s="1"/>
  <c r="P184" i="19"/>
  <c r="P208" i="19" s="1"/>
  <c r="P232" i="19" s="1"/>
  <c r="P256" i="19" s="1"/>
  <c r="Q189" i="19"/>
  <c r="Q213" i="19" s="1"/>
  <c r="Q237" i="19" s="1"/>
  <c r="Q261" i="19" s="1"/>
  <c r="E192" i="19"/>
  <c r="E216" i="19" s="1"/>
  <c r="E240" i="19" s="1"/>
  <c r="E264" i="19" s="1"/>
  <c r="T182" i="19"/>
  <c r="T206" i="19" s="1"/>
  <c r="T230" i="19" s="1"/>
  <c r="T254" i="19" s="1"/>
  <c r="O197" i="19"/>
  <c r="O221" i="19" s="1"/>
  <c r="O245" i="19" s="1"/>
  <c r="O269" i="19" s="1"/>
  <c r="L184" i="19"/>
  <c r="L208" i="19" s="1"/>
  <c r="L232" i="19" s="1"/>
  <c r="L256" i="19" s="1"/>
  <c r="N185" i="19"/>
  <c r="N209" i="19" s="1"/>
  <c r="N233" i="19" s="1"/>
  <c r="N257" i="19" s="1"/>
  <c r="H190" i="19"/>
  <c r="H214" i="19" s="1"/>
  <c r="H238" i="19" s="1"/>
  <c r="H262" i="19" s="1"/>
  <c r="E188" i="19"/>
  <c r="E212" i="19" s="1"/>
  <c r="E236" i="19" s="1"/>
  <c r="E260" i="19" s="1"/>
  <c r="M199" i="19"/>
  <c r="M223" i="19" s="1"/>
  <c r="M247" i="19" s="1"/>
  <c r="M271" i="19" s="1"/>
  <c r="T183" i="19"/>
  <c r="T207" i="19" s="1"/>
  <c r="T231" i="19" s="1"/>
  <c r="T255" i="19" s="1"/>
  <c r="R199" i="19"/>
  <c r="R223" i="19" s="1"/>
  <c r="R247" i="19" s="1"/>
  <c r="R271" i="19" s="1"/>
  <c r="O187" i="19"/>
  <c r="O211" i="19" s="1"/>
  <c r="O235" i="19" s="1"/>
  <c r="O259" i="19" s="1"/>
  <c r="T197" i="19"/>
  <c r="T221" i="19" s="1"/>
  <c r="T245" i="19" s="1"/>
  <c r="T269" i="19" s="1"/>
  <c r="M191" i="19"/>
  <c r="M215" i="19" s="1"/>
  <c r="M239" i="19" s="1"/>
  <c r="M263" i="19" s="1"/>
  <c r="L186" i="19"/>
  <c r="L210" i="19" s="1"/>
  <c r="L234" i="19" s="1"/>
  <c r="L258" i="19" s="1"/>
  <c r="S185" i="19"/>
  <c r="S209" i="19" s="1"/>
  <c r="S233" i="19" s="1"/>
  <c r="S257" i="19" s="1"/>
  <c r="G198" i="19"/>
  <c r="G222" i="19" s="1"/>
  <c r="G246" i="19" s="1"/>
  <c r="G270" i="19" s="1"/>
  <c r="E186" i="19"/>
  <c r="E210" i="19" s="1"/>
  <c r="E234" i="19" s="1"/>
  <c r="E258" i="19" s="1"/>
  <c r="K191" i="19"/>
  <c r="K215" i="19" s="1"/>
  <c r="K239" i="19" s="1"/>
  <c r="K263" i="19" s="1"/>
  <c r="S184" i="19"/>
  <c r="S208" i="19" s="1"/>
  <c r="S232" i="19" s="1"/>
  <c r="S256" i="19" s="1"/>
  <c r="P188" i="19"/>
  <c r="P212" i="19" s="1"/>
  <c r="P236" i="19" s="1"/>
  <c r="P260" i="19" s="1"/>
  <c r="S201" i="19"/>
  <c r="S225" i="19" s="1"/>
  <c r="S249" i="19" s="1"/>
  <c r="S273" i="19" s="1"/>
  <c r="M189" i="19"/>
  <c r="M213" i="19" s="1"/>
  <c r="M237" i="19" s="1"/>
  <c r="M261" i="19" s="1"/>
  <c r="E190" i="19"/>
  <c r="E214" i="19" s="1"/>
  <c r="E238" i="19" s="1"/>
  <c r="E262" i="19" s="1"/>
  <c r="E184" i="19"/>
  <c r="E208" i="19" s="1"/>
  <c r="E232" i="19" s="1"/>
  <c r="E256" i="19" s="1"/>
  <c r="N200" i="19"/>
  <c r="N224" i="19" s="1"/>
  <c r="N248" i="19" s="1"/>
  <c r="N272" i="19" s="1"/>
  <c r="I196" i="19"/>
  <c r="I220" i="19" s="1"/>
  <c r="I244" i="19" s="1"/>
  <c r="I268" i="19" s="1"/>
  <c r="R187" i="19"/>
  <c r="R211" i="19" s="1"/>
  <c r="R235" i="19" s="1"/>
  <c r="R259" i="19" s="1"/>
  <c r="P200" i="19"/>
  <c r="P224" i="19" s="1"/>
  <c r="P248" i="19" s="1"/>
  <c r="P272" i="19" s="1"/>
  <c r="N184" i="19"/>
  <c r="N208" i="19" s="1"/>
  <c r="N232" i="19" s="1"/>
  <c r="N256" i="19" s="1"/>
  <c r="G199" i="19"/>
  <c r="G223" i="19" s="1"/>
  <c r="G247" i="19" s="1"/>
  <c r="G271" i="19" s="1"/>
  <c r="R201" i="19"/>
  <c r="R225" i="19" s="1"/>
  <c r="R249" i="19" s="1"/>
  <c r="R273" i="19" s="1"/>
  <c r="E191" i="19"/>
  <c r="E215" i="19" s="1"/>
  <c r="E239" i="19" s="1"/>
  <c r="E263" i="19" s="1"/>
  <c r="M188" i="19"/>
  <c r="M212" i="19" s="1"/>
  <c r="M236" i="19" s="1"/>
  <c r="M260" i="19" s="1"/>
  <c r="Q193" i="19"/>
  <c r="Q217" i="19" s="1"/>
  <c r="Q241" i="19" s="1"/>
  <c r="Q265" i="19" s="1"/>
  <c r="T199" i="19"/>
  <c r="T223" i="19" s="1"/>
  <c r="T247" i="19" s="1"/>
  <c r="T271" i="19" s="1"/>
  <c r="I183" i="19"/>
  <c r="I207" i="19" s="1"/>
  <c r="I231" i="19" s="1"/>
  <c r="I255" i="19" s="1"/>
  <c r="L201" i="19"/>
  <c r="L225" i="19" s="1"/>
  <c r="L249" i="19" s="1"/>
  <c r="L273" i="19" s="1"/>
  <c r="K185" i="19"/>
  <c r="K209" i="19" s="1"/>
  <c r="K233" i="19" s="1"/>
  <c r="K257" i="19" s="1"/>
  <c r="T188" i="19"/>
  <c r="T212" i="19" s="1"/>
  <c r="T236" i="19" s="1"/>
  <c r="T260" i="19" s="1"/>
  <c r="H193" i="19"/>
  <c r="H217" i="19" s="1"/>
  <c r="H241" i="19" s="1"/>
  <c r="H265" i="19" s="1"/>
  <c r="Q198" i="19"/>
  <c r="Q222" i="19" s="1"/>
  <c r="Q246" i="19" s="1"/>
  <c r="Q270" i="19" s="1"/>
  <c r="L197" i="19"/>
  <c r="L221" i="19" s="1"/>
  <c r="L245" i="19" s="1"/>
  <c r="L269" i="19" s="1"/>
  <c r="K183" i="19"/>
  <c r="K207" i="19" s="1"/>
  <c r="K231" i="19" s="1"/>
  <c r="K255" i="19" s="1"/>
  <c r="I200" i="19"/>
  <c r="I224" i="19" s="1"/>
  <c r="I248" i="19" s="1"/>
  <c r="I272" i="19" s="1"/>
  <c r="K199" i="19"/>
  <c r="K223" i="19" s="1"/>
  <c r="K247" i="19" s="1"/>
  <c r="K271" i="19" s="1"/>
  <c r="T201" i="19"/>
  <c r="T225" i="19" s="1"/>
  <c r="T249" i="19" s="1"/>
  <c r="T273" i="19" s="1"/>
  <c r="G196" i="19"/>
  <c r="G220" i="19" s="1"/>
  <c r="G244" i="19" s="1"/>
  <c r="G268" i="19" s="1"/>
  <c r="L189" i="19"/>
  <c r="L213" i="19" s="1"/>
  <c r="L237" i="19" s="1"/>
  <c r="L261" i="19" s="1"/>
  <c r="R195" i="19"/>
  <c r="R219" i="19" s="1"/>
  <c r="R243" i="19" s="1"/>
  <c r="R267" i="19" s="1"/>
  <c r="G187" i="19"/>
  <c r="G211" i="19" s="1"/>
  <c r="G235" i="19" s="1"/>
  <c r="G259" i="19" s="1"/>
  <c r="O199" i="19"/>
  <c r="O223" i="19" s="1"/>
  <c r="O247" i="19" s="1"/>
  <c r="O271" i="19" s="1"/>
  <c r="F185" i="19"/>
  <c r="F209" i="19" s="1"/>
  <c r="F233" i="19" s="1"/>
  <c r="F257" i="19" s="1"/>
  <c r="E195" i="19"/>
  <c r="E219" i="19" s="1"/>
  <c r="E243" i="19" s="1"/>
  <c r="E267" i="19" s="1"/>
  <c r="O192" i="19"/>
  <c r="O216" i="19" s="1"/>
  <c r="O240" i="19" s="1"/>
  <c r="O264" i="19" s="1"/>
  <c r="K189" i="19"/>
  <c r="K213" i="19" s="1"/>
  <c r="K237" i="19" s="1"/>
  <c r="K261" i="19" s="1"/>
  <c r="R194" i="19"/>
  <c r="R218" i="19" s="1"/>
  <c r="R242" i="19" s="1"/>
  <c r="R266" i="19" s="1"/>
  <c r="P192" i="19"/>
  <c r="P216" i="19" s="1"/>
  <c r="P240" i="19" s="1"/>
  <c r="P264" i="19" s="1"/>
  <c r="K194" i="19"/>
  <c r="K218" i="19" s="1"/>
  <c r="K242" i="19" s="1"/>
  <c r="K266" i="19" s="1"/>
  <c r="P182" i="19"/>
  <c r="P206" i="19" s="1"/>
  <c r="P230" i="19" s="1"/>
  <c r="P254" i="19" s="1"/>
  <c r="T185" i="19"/>
  <c r="T209" i="19" s="1"/>
  <c r="T233" i="19" s="1"/>
  <c r="T257" i="19" s="1"/>
  <c r="R182" i="19"/>
  <c r="R206" i="19" s="1"/>
  <c r="R230" i="19" s="1"/>
  <c r="R254" i="19" s="1"/>
  <c r="T195" i="19"/>
  <c r="T219" i="19" s="1"/>
  <c r="T243" i="19" s="1"/>
  <c r="T267" i="19" s="1"/>
  <c r="F183" i="19"/>
  <c r="F207" i="19" s="1"/>
  <c r="F231" i="19" s="1"/>
  <c r="F255" i="19" s="1"/>
  <c r="R197" i="19"/>
  <c r="R221" i="19" s="1"/>
  <c r="R245" i="19" s="1"/>
  <c r="R269" i="19" s="1"/>
  <c r="J192" i="19"/>
  <c r="J216" i="19" s="1"/>
  <c r="J240" i="19" s="1"/>
  <c r="J264" i="19" s="1"/>
  <c r="E194" i="19"/>
  <c r="E218" i="19" s="1"/>
  <c r="E242" i="19" s="1"/>
  <c r="E266" i="19" s="1"/>
  <c r="S188" i="19"/>
  <c r="S212" i="19" s="1"/>
  <c r="S236" i="19" s="1"/>
  <c r="S260" i="19" s="1"/>
  <c r="H201" i="19"/>
  <c r="H225" i="19" s="1"/>
  <c r="H249" i="19" s="1"/>
  <c r="H273" i="19" s="1"/>
  <c r="H192" i="19"/>
  <c r="H216" i="19" s="1"/>
  <c r="H240" i="19" s="1"/>
  <c r="H264" i="19" s="1"/>
  <c r="G190" i="19"/>
  <c r="G214" i="19" s="1"/>
  <c r="G238" i="19" s="1"/>
  <c r="G262" i="19" s="1"/>
  <c r="R198" i="19"/>
  <c r="R222" i="19" s="1"/>
  <c r="R246" i="19" s="1"/>
  <c r="R270" i="19" s="1"/>
  <c r="Q188" i="19"/>
  <c r="Q212" i="19" s="1"/>
  <c r="Q236" i="19" s="1"/>
  <c r="Q260" i="19" s="1"/>
  <c r="P190" i="19"/>
  <c r="P214" i="19" s="1"/>
  <c r="P238" i="19" s="1"/>
  <c r="P262" i="19" s="1"/>
  <c r="J185" i="19"/>
  <c r="J209" i="19" s="1"/>
  <c r="J233" i="19" s="1"/>
  <c r="J257" i="19" s="1"/>
  <c r="Q190" i="19"/>
  <c r="Q214" i="19" s="1"/>
  <c r="Q238" i="19" s="1"/>
  <c r="Q262" i="19" s="1"/>
  <c r="N199" i="19"/>
  <c r="N223" i="19" s="1"/>
  <c r="N247" i="19" s="1"/>
  <c r="N271" i="19" s="1"/>
  <c r="I201" i="19"/>
  <c r="I225" i="19" s="1"/>
  <c r="I249" i="19" s="1"/>
  <c r="I273" i="19" s="1"/>
  <c r="I198" i="19"/>
  <c r="I222" i="19" s="1"/>
  <c r="I246" i="19" s="1"/>
  <c r="I270" i="19" s="1"/>
  <c r="Q197" i="19"/>
  <c r="Q221" i="19" s="1"/>
  <c r="Q245" i="19" s="1"/>
  <c r="Q269" i="19" s="1"/>
  <c r="H191" i="19"/>
  <c r="H215" i="19" s="1"/>
  <c r="H239" i="19" s="1"/>
  <c r="H263" i="19" s="1"/>
  <c r="S187" i="19"/>
  <c r="S211" i="19" s="1"/>
  <c r="S235" i="19" s="1"/>
  <c r="S259" i="19" s="1"/>
  <c r="J200" i="19"/>
  <c r="J224" i="19" s="1"/>
  <c r="J248" i="19" s="1"/>
  <c r="J272" i="19" s="1"/>
  <c r="J195" i="19"/>
  <c r="J219" i="19" s="1"/>
  <c r="J243" i="19" s="1"/>
  <c r="J267" i="19" s="1"/>
  <c r="T191" i="19"/>
  <c r="T215" i="19" s="1"/>
  <c r="T239" i="19" s="1"/>
  <c r="T263" i="19" s="1"/>
  <c r="S200" i="19"/>
  <c r="S224" i="19" s="1"/>
  <c r="S248" i="19" s="1"/>
  <c r="S272" i="19" s="1"/>
  <c r="R183" i="19"/>
  <c r="R207" i="19" s="1"/>
  <c r="R231" i="19" s="1"/>
  <c r="R255" i="19" s="1"/>
  <c r="K187" i="19"/>
  <c r="K211" i="19" s="1"/>
  <c r="K235" i="19" s="1"/>
  <c r="K259" i="19" s="1"/>
  <c r="I188" i="19"/>
  <c r="I212" i="19" s="1"/>
  <c r="I236" i="19" s="1"/>
  <c r="I260" i="19" s="1"/>
  <c r="Q194" i="19"/>
  <c r="Q218" i="19" s="1"/>
  <c r="Q242" i="19" s="1"/>
  <c r="Q266" i="19" s="1"/>
  <c r="J199" i="19"/>
  <c r="J223" i="19" s="1"/>
  <c r="J247" i="19" s="1"/>
  <c r="J271" i="19" s="1"/>
  <c r="R191" i="19"/>
  <c r="R215" i="19" s="1"/>
  <c r="R239" i="19" s="1"/>
  <c r="R263" i="19" s="1"/>
  <c r="R200" i="19"/>
  <c r="R224" i="19" s="1"/>
  <c r="R248" i="19" s="1"/>
  <c r="R272" i="19" s="1"/>
  <c r="N194" i="19"/>
  <c r="N218" i="19" s="1"/>
  <c r="N242" i="19" s="1"/>
  <c r="N266" i="19" s="1"/>
  <c r="M198" i="19"/>
  <c r="M222" i="19" s="1"/>
  <c r="M246" i="19" s="1"/>
  <c r="M270" i="19" s="1"/>
  <c r="H185" i="19"/>
  <c r="H209" i="19" s="1"/>
  <c r="H233" i="19" s="1"/>
  <c r="H257" i="19" s="1"/>
  <c r="I197" i="19"/>
  <c r="I221" i="19" s="1"/>
  <c r="I245" i="19" s="1"/>
  <c r="I269" i="19" s="1"/>
  <c r="H187" i="19"/>
  <c r="H211" i="19" s="1"/>
  <c r="H235" i="19" s="1"/>
  <c r="H259" i="19" s="1"/>
  <c r="F201" i="19"/>
  <c r="F225" i="19" s="1"/>
  <c r="F249" i="19" s="1"/>
  <c r="F273" i="19" s="1"/>
  <c r="E199" i="19"/>
  <c r="E223" i="19" s="1"/>
  <c r="E247" i="19" s="1"/>
  <c r="E271" i="19" s="1"/>
  <c r="I182" i="19"/>
  <c r="I206" i="19" s="1"/>
  <c r="I230" i="19" s="1"/>
  <c r="I254" i="19" s="1"/>
  <c r="L196" i="19"/>
  <c r="L220" i="19" s="1"/>
  <c r="L244" i="19" s="1"/>
  <c r="L268" i="19" s="1"/>
  <c r="K192" i="19"/>
  <c r="K216" i="19" s="1"/>
  <c r="K240" i="19" s="1"/>
  <c r="K264" i="19" s="1"/>
  <c r="O189" i="19"/>
  <c r="O213" i="19" s="1"/>
  <c r="O237" i="19" s="1"/>
  <c r="O261" i="19" s="1"/>
  <c r="R193" i="19"/>
  <c r="R217" i="19" s="1"/>
  <c r="R241" i="19" s="1"/>
  <c r="R265" i="19" s="1"/>
  <c r="Q200" i="19"/>
  <c r="Q224" i="19" s="1"/>
  <c r="Q248" i="19" s="1"/>
  <c r="Q272" i="19" s="1"/>
  <c r="H188" i="19"/>
  <c r="H212" i="19" s="1"/>
  <c r="H236" i="19" s="1"/>
  <c r="H260" i="19" s="1"/>
  <c r="N193" i="19"/>
  <c r="N217" i="19" s="1"/>
  <c r="N241" i="19" s="1"/>
  <c r="N265" i="19" s="1"/>
  <c r="K200" i="19"/>
  <c r="K224" i="19" s="1"/>
  <c r="K248" i="19" s="1"/>
  <c r="K272" i="19" s="1"/>
  <c r="J182" i="19"/>
  <c r="J206" i="19" s="1"/>
  <c r="J230" i="19" s="1"/>
  <c r="J254" i="19" s="1"/>
  <c r="N186" i="19"/>
  <c r="N210" i="19" s="1"/>
  <c r="N234" i="19" s="1"/>
  <c r="N258" i="19" s="1"/>
  <c r="G185" i="19"/>
  <c r="G209" i="19" s="1"/>
  <c r="G233" i="19" s="1"/>
  <c r="G257" i="19" s="1"/>
  <c r="E197" i="19"/>
  <c r="E221" i="19" s="1"/>
  <c r="E245" i="19" s="1"/>
  <c r="E269" i="19" s="1"/>
  <c r="I191" i="19"/>
  <c r="I215" i="19" s="1"/>
  <c r="I239" i="19" s="1"/>
  <c r="I263" i="19" s="1"/>
  <c r="O190" i="19"/>
  <c r="O214" i="19" s="1"/>
  <c r="O238" i="19" s="1"/>
  <c r="O262" i="19" s="1"/>
  <c r="O186" i="19"/>
  <c r="O210" i="19" s="1"/>
  <c r="O234" i="19" s="1"/>
  <c r="O258" i="19" s="1"/>
  <c r="G197" i="19"/>
  <c r="G221" i="19" s="1"/>
  <c r="G245" i="19" s="1"/>
  <c r="G269" i="19" s="1"/>
  <c r="J183" i="19"/>
  <c r="J207" i="19" s="1"/>
  <c r="J231" i="19" s="1"/>
  <c r="J255" i="19" s="1"/>
  <c r="S195" i="19"/>
  <c r="S219" i="19" s="1"/>
  <c r="S243" i="19" s="1"/>
  <c r="S267" i="19" s="1"/>
  <c r="P199" i="19"/>
  <c r="P223" i="19" s="1"/>
  <c r="P247" i="19" s="1"/>
  <c r="P271" i="19" s="1"/>
  <c r="S198" i="19"/>
  <c r="S222" i="19" s="1"/>
  <c r="S246" i="19" s="1"/>
  <c r="S270" i="19" s="1"/>
  <c r="J187" i="19"/>
  <c r="J211" i="19" s="1"/>
  <c r="J235" i="19" s="1"/>
  <c r="J259" i="19" s="1"/>
  <c r="S193" i="19"/>
  <c r="S217" i="19" s="1"/>
  <c r="S241" i="19" s="1"/>
  <c r="S265" i="19" s="1"/>
  <c r="L198" i="19"/>
  <c r="L222" i="19" s="1"/>
  <c r="L246" i="19" s="1"/>
  <c r="L270" i="19" s="1"/>
  <c r="H184" i="19"/>
  <c r="H208" i="19" s="1"/>
  <c r="H232" i="19" s="1"/>
  <c r="H256" i="19" s="1"/>
  <c r="L187" i="19"/>
  <c r="L211" i="19" s="1"/>
  <c r="L235" i="19" s="1"/>
  <c r="L259" i="19" s="1"/>
  <c r="T187" i="19"/>
  <c r="T211" i="19" s="1"/>
  <c r="T235" i="19" s="1"/>
  <c r="T259" i="19" s="1"/>
  <c r="M184" i="19"/>
  <c r="M208" i="19" s="1"/>
  <c r="M232" i="19" s="1"/>
  <c r="M256" i="19" s="1"/>
  <c r="P197" i="19"/>
  <c r="P221" i="19" s="1"/>
  <c r="P245" i="19" s="1"/>
  <c r="P269" i="19" s="1"/>
  <c r="G184" i="19"/>
  <c r="G208" i="19" s="1"/>
  <c r="G232" i="19" s="1"/>
  <c r="G256" i="19" s="1"/>
  <c r="K190" i="19"/>
  <c r="K214" i="19" s="1"/>
  <c r="K238" i="19" s="1"/>
  <c r="K262" i="19" s="1"/>
  <c r="L182" i="19"/>
  <c r="L206" i="19" s="1"/>
  <c r="L230" i="19" s="1"/>
  <c r="L254" i="19" s="1"/>
  <c r="J197" i="19"/>
  <c r="J221" i="19" s="1"/>
  <c r="J245" i="19" s="1"/>
  <c r="J269" i="19" s="1"/>
  <c r="L194" i="19"/>
  <c r="L218" i="19" s="1"/>
  <c r="L242" i="19" s="1"/>
  <c r="L266" i="19" s="1"/>
  <c r="G183" i="19"/>
  <c r="G207" i="19" s="1"/>
  <c r="G231" i="19" s="1"/>
  <c r="G255" i="19" s="1"/>
  <c r="E193" i="19"/>
  <c r="E217" i="19" s="1"/>
  <c r="E241" i="19" s="1"/>
  <c r="E265" i="19" s="1"/>
  <c r="O194" i="19"/>
  <c r="O218" i="19" s="1"/>
  <c r="O242" i="19" s="1"/>
  <c r="O266" i="19" s="1"/>
  <c r="H200" i="19"/>
  <c r="H224" i="19" s="1"/>
  <c r="H248" i="19" s="1"/>
  <c r="H272" i="19" s="1"/>
  <c r="K196" i="19"/>
  <c r="K220" i="19" s="1"/>
  <c r="K244" i="19" s="1"/>
  <c r="K268" i="19" s="1"/>
  <c r="R192" i="19"/>
  <c r="R216" i="19" s="1"/>
  <c r="R240" i="19" s="1"/>
  <c r="R264" i="19" s="1"/>
  <c r="H196" i="19"/>
  <c r="H220" i="19" s="1"/>
  <c r="H244" i="19" s="1"/>
  <c r="H268" i="19" s="1"/>
  <c r="F188" i="19"/>
  <c r="F212" i="19" s="1"/>
  <c r="F236" i="19" s="1"/>
  <c r="F260" i="19" s="1"/>
  <c r="F195" i="19"/>
  <c r="F219" i="19" s="1"/>
  <c r="F243" i="19" s="1"/>
  <c r="F267" i="19" s="1"/>
  <c r="Q184" i="19"/>
  <c r="Q208" i="19" s="1"/>
  <c r="Q232" i="19" s="1"/>
  <c r="Q256" i="19" s="1"/>
  <c r="P195" i="19"/>
  <c r="P219" i="19" s="1"/>
  <c r="P243" i="19" s="1"/>
  <c r="P267" i="19" s="1"/>
  <c r="Q195" i="19"/>
  <c r="Q219" i="19" s="1"/>
  <c r="Q243" i="19" s="1"/>
  <c r="Q267" i="19" s="1"/>
  <c r="N195" i="19"/>
  <c r="N219" i="19" s="1"/>
  <c r="N243" i="19" s="1"/>
  <c r="N267" i="19" s="1"/>
  <c r="S199" i="19"/>
  <c r="S223" i="19" s="1"/>
  <c r="S247" i="19" s="1"/>
  <c r="S271" i="19" s="1"/>
  <c r="E198" i="19"/>
  <c r="E222" i="19" s="1"/>
  <c r="E246" i="19" s="1"/>
  <c r="E270" i="19" s="1"/>
  <c r="Q183" i="19"/>
  <c r="Q207" i="19" s="1"/>
  <c r="Q231" i="19" s="1"/>
  <c r="Q255" i="19" s="1"/>
  <c r="F184" i="19"/>
  <c r="F208" i="19" s="1"/>
  <c r="F232" i="19" s="1"/>
  <c r="F256" i="19" s="1"/>
  <c r="S189" i="19"/>
  <c r="S213" i="19" s="1"/>
  <c r="S237" i="19" s="1"/>
  <c r="S261" i="19" s="1"/>
  <c r="K193" i="19"/>
  <c r="K217" i="19" s="1"/>
  <c r="K241" i="19" s="1"/>
  <c r="K265" i="19" s="1"/>
  <c r="M196" i="19"/>
  <c r="M220" i="19" s="1"/>
  <c r="M244" i="19" s="1"/>
  <c r="M268" i="19" s="1"/>
  <c r="E209" i="19"/>
  <c r="E233" i="19" s="1"/>
  <c r="E257" i="19" s="1"/>
  <c r="P201" i="19"/>
  <c r="P225" i="19" s="1"/>
  <c r="P249" i="19" s="1"/>
  <c r="P273" i="19" s="1"/>
  <c r="L193" i="19"/>
  <c r="L217" i="19" s="1"/>
  <c r="L241" i="19" s="1"/>
  <c r="L265" i="19" s="1"/>
  <c r="I195" i="19"/>
  <c r="I219" i="19" s="1"/>
  <c r="I243" i="19" s="1"/>
  <c r="I267" i="19" s="1"/>
  <c r="F186" i="19"/>
  <c r="F210" i="19" s="1"/>
  <c r="F234" i="19" s="1"/>
  <c r="F258" i="19" s="1"/>
  <c r="Q196" i="19"/>
  <c r="Q220" i="19" s="1"/>
  <c r="Q244" i="19" s="1"/>
  <c r="Q268" i="19" s="1"/>
  <c r="L183" i="19"/>
  <c r="L207" i="19" s="1"/>
  <c r="L231" i="19" s="1"/>
  <c r="L255" i="19" s="1"/>
  <c r="P196" i="19"/>
  <c r="P220" i="19" s="1"/>
  <c r="P244" i="19" s="1"/>
  <c r="P268" i="19" s="1"/>
  <c r="J186" i="19"/>
  <c r="J210" i="19" s="1"/>
  <c r="J234" i="19" s="1"/>
  <c r="J258" i="19" s="1"/>
  <c r="O183" i="19"/>
  <c r="O207" i="19" s="1"/>
  <c r="O231" i="19" s="1"/>
  <c r="O255" i="19" s="1"/>
  <c r="Q187" i="19"/>
  <c r="Q211" i="19" s="1"/>
  <c r="Q235" i="19" s="1"/>
  <c r="Q259" i="19" s="1"/>
  <c r="E196" i="19"/>
  <c r="E220" i="19" s="1"/>
  <c r="E244" i="19" s="1"/>
  <c r="E268" i="19" s="1"/>
  <c r="J152" i="29"/>
  <c r="K151" i="29"/>
  <c r="L151" i="29"/>
  <c r="E7" i="1"/>
  <c r="E7" i="29"/>
  <c r="E8" i="29" s="1"/>
  <c r="H31" i="20"/>
  <c r="I94" i="19" s="1"/>
  <c r="I118" i="19" s="1"/>
  <c r="I142" i="19" s="1"/>
  <c r="D16" i="20" a="1"/>
  <c r="E254" i="19" l="1"/>
  <c r="Z19" i="19"/>
  <c r="Z26" i="19" s="1"/>
  <c r="E8" i="1"/>
  <c r="E10" i="1" s="1"/>
  <c r="E9" i="36"/>
  <c r="E15" i="36" s="1"/>
  <c r="J153" i="29"/>
  <c r="K152" i="29"/>
  <c r="L152" i="29"/>
  <c r="D16" i="20"/>
  <c r="E79" i="19" s="1"/>
  <c r="Z20" i="19" l="1"/>
  <c r="Z23" i="19" s="1"/>
  <c r="E10" i="36"/>
  <c r="E18" i="36" s="1"/>
  <c r="E11" i="1" s="1"/>
  <c r="J154" i="29"/>
  <c r="L153" i="29"/>
  <c r="K153" i="29"/>
  <c r="E103" i="19"/>
  <c r="E127" i="19" s="1"/>
  <c r="S7" i="19"/>
  <c r="S16" i="20" a="1"/>
  <c r="Z24" i="19" l="1"/>
  <c r="Z22" i="19"/>
  <c r="E37" i="1" s="1"/>
  <c r="E17" i="36"/>
  <c r="F44" i="1" s="1"/>
  <c r="E71" i="36"/>
  <c r="E76" i="36" s="1"/>
  <c r="J155" i="29"/>
  <c r="K154" i="29"/>
  <c r="L154" i="29"/>
  <c r="E10" i="29"/>
  <c r="E13" i="29" s="1"/>
  <c r="E14" i="29" s="1"/>
  <c r="S16" i="20"/>
  <c r="T79" i="19" s="1"/>
  <c r="T103" i="19" s="1"/>
  <c r="T127" i="19" s="1"/>
  <c r="D10" i="20" a="1"/>
  <c r="G44" i="1" l="1"/>
  <c r="E44" i="1"/>
  <c r="E77" i="36"/>
  <c r="E74" i="36"/>
  <c r="E75" i="36" s="1"/>
  <c r="E78" i="36" s="1"/>
  <c r="E132" i="36"/>
  <c r="E134" i="36" s="1"/>
  <c r="J156" i="29"/>
  <c r="K155" i="29"/>
  <c r="L155" i="29"/>
  <c r="D10" i="20"/>
  <c r="S9" i="19" s="1"/>
  <c r="S28" i="20" a="1"/>
  <c r="E171" i="36" l="1"/>
  <c r="F171" i="36" s="1"/>
  <c r="E139" i="36"/>
  <c r="E142" i="36" s="1"/>
  <c r="E52" i="1" s="1"/>
  <c r="F46" i="1"/>
  <c r="E79" i="36"/>
  <c r="J157" i="29"/>
  <c r="K156" i="29"/>
  <c r="L156" i="29"/>
  <c r="S28" i="20"/>
  <c r="T91" i="19" s="1"/>
  <c r="T115" i="19" s="1"/>
  <c r="T139" i="19" s="1"/>
  <c r="O24" i="20" a="1"/>
  <c r="G46" i="1" l="1"/>
  <c r="G171" i="36"/>
  <c r="E51" i="1"/>
  <c r="J158" i="29"/>
  <c r="K157" i="29"/>
  <c r="L157" i="29"/>
  <c r="O24" i="20"/>
  <c r="P87" i="19" s="1"/>
  <c r="P111" i="19" s="1"/>
  <c r="P135" i="19" s="1"/>
  <c r="E33" i="20" a="1"/>
  <c r="E9" i="29" l="1"/>
  <c r="O54" i="29"/>
  <c r="P54" i="29" s="1"/>
  <c r="J159" i="29"/>
  <c r="K158" i="29"/>
  <c r="L158" i="29"/>
  <c r="E33" i="20"/>
  <c r="F96" i="19" s="1"/>
  <c r="F120" i="19" s="1"/>
  <c r="F144" i="19" s="1"/>
  <c r="P23" i="20" a="1"/>
  <c r="F51" i="1" l="1"/>
  <c r="N54" i="29"/>
  <c r="Q54" i="29" s="1"/>
  <c r="F52" i="1"/>
  <c r="J160" i="29"/>
  <c r="K159" i="29"/>
  <c r="L159" i="29"/>
  <c r="P23" i="20"/>
  <c r="Q86" i="19" s="1"/>
  <c r="Q110" i="19" s="1"/>
  <c r="Q134" i="19" s="1"/>
  <c r="G32" i="20" a="1"/>
  <c r="G52" i="1" l="1"/>
  <c r="G51" i="1"/>
  <c r="J161" i="29"/>
  <c r="K160" i="29"/>
  <c r="L160" i="29"/>
  <c r="R54" i="29"/>
  <c r="S54" i="29"/>
  <c r="G32" i="20"/>
  <c r="H95" i="19" s="1"/>
  <c r="H119" i="19" s="1"/>
  <c r="H143" i="19" s="1"/>
  <c r="R33" i="20" a="1"/>
  <c r="G49" i="1" l="1"/>
  <c r="J162" i="29"/>
  <c r="K161" i="29"/>
  <c r="L161" i="29"/>
  <c r="V54" i="29"/>
  <c r="E54" i="29" s="1"/>
  <c r="F54" i="29" s="1"/>
  <c r="G54" i="29" s="1"/>
  <c r="R33" i="20"/>
  <c r="S96" i="19" s="1"/>
  <c r="S120" i="19" s="1"/>
  <c r="S144" i="19" s="1"/>
  <c r="Q26" i="20" a="1"/>
  <c r="E53" i="29" l="1"/>
  <c r="F53" i="29" s="1"/>
  <c r="G53" i="29" s="1"/>
  <c r="J163" i="29"/>
  <c r="K162" i="29"/>
  <c r="L162" i="29"/>
  <c r="Q26" i="20"/>
  <c r="R89" i="19" s="1"/>
  <c r="R113" i="19" s="1"/>
  <c r="R137" i="19" s="1"/>
  <c r="M27" i="20" a="1"/>
  <c r="J164" i="29" l="1"/>
  <c r="K163" i="29"/>
  <c r="L163" i="29"/>
  <c r="M27" i="20"/>
  <c r="N90" i="19" s="1"/>
  <c r="N114" i="19" s="1"/>
  <c r="N138" i="19" s="1"/>
  <c r="G31" i="20" a="1"/>
  <c r="J165" i="29" l="1"/>
  <c r="K164" i="29"/>
  <c r="L164" i="29"/>
  <c r="G31" i="20"/>
  <c r="H94" i="19" s="1"/>
  <c r="H118" i="19" s="1"/>
  <c r="H142" i="19" s="1"/>
  <c r="M20" i="20" a="1"/>
  <c r="J166" i="29" l="1"/>
  <c r="L165" i="29"/>
  <c r="K165" i="29"/>
  <c r="M20" i="20"/>
  <c r="N83" i="19" s="1"/>
  <c r="N107" i="19" s="1"/>
  <c r="N131" i="19" s="1"/>
  <c r="R25" i="20" a="1"/>
  <c r="J167" i="29" l="1"/>
  <c r="K166" i="29"/>
  <c r="L166" i="29"/>
  <c r="R25" i="20"/>
  <c r="S88" i="19" s="1"/>
  <c r="S112" i="19" s="1"/>
  <c r="S136" i="19" s="1"/>
  <c r="Q35" i="20" a="1"/>
  <c r="J168" i="29" l="1"/>
  <c r="K167" i="29"/>
  <c r="L167" i="29"/>
  <c r="Q35" i="20"/>
  <c r="R98" i="19" s="1"/>
  <c r="R122" i="19" s="1"/>
  <c r="R146" i="19" s="1"/>
  <c r="J18" i="20" a="1"/>
  <c r="J169" i="29" l="1"/>
  <c r="K168" i="29"/>
  <c r="L168" i="29"/>
  <c r="J18" i="20"/>
  <c r="K81" i="19" s="1"/>
  <c r="K105" i="19" s="1"/>
  <c r="K129" i="19" s="1"/>
  <c r="M18" i="20" a="1"/>
  <c r="J170" i="29" l="1"/>
  <c r="L169" i="29"/>
  <c r="K169" i="29"/>
  <c r="M18" i="20"/>
  <c r="N81" i="19" s="1"/>
  <c r="N105" i="19" s="1"/>
  <c r="N129" i="19" s="1"/>
  <c r="O22" i="20" a="1"/>
  <c r="J171" i="29" l="1"/>
  <c r="K170" i="29"/>
  <c r="L170" i="29"/>
  <c r="O22" i="20"/>
  <c r="P85" i="19" s="1"/>
  <c r="P109" i="19" s="1"/>
  <c r="P133" i="19" s="1"/>
  <c r="G25" i="20" a="1"/>
  <c r="J172" i="29" l="1"/>
  <c r="K171" i="29"/>
  <c r="L171" i="29"/>
  <c r="G25" i="20"/>
  <c r="H88" i="19" s="1"/>
  <c r="H112" i="19" s="1"/>
  <c r="H136" i="19" s="1"/>
  <c r="F26" i="20" a="1"/>
  <c r="J173" i="29" l="1"/>
  <c r="K172" i="29"/>
  <c r="L172" i="29"/>
  <c r="F26" i="20"/>
  <c r="G89" i="19" s="1"/>
  <c r="G113" i="19" s="1"/>
  <c r="G137" i="19" s="1"/>
  <c r="M26" i="20" a="1"/>
  <c r="J174" i="29" l="1"/>
  <c r="K173" i="29"/>
  <c r="L173" i="29"/>
  <c r="M26" i="20"/>
  <c r="N89" i="19" s="1"/>
  <c r="N113" i="19" s="1"/>
  <c r="N137" i="19" s="1"/>
  <c r="I21" i="20" a="1"/>
  <c r="J175" i="29" l="1"/>
  <c r="K174" i="29"/>
  <c r="L174" i="29"/>
  <c r="N76" i="29"/>
  <c r="N77" i="29"/>
  <c r="M99" i="29" s="1"/>
  <c r="N79" i="29"/>
  <c r="N80" i="29"/>
  <c r="I21" i="20"/>
  <c r="J84" i="19" s="1"/>
  <c r="J108" i="19" s="1"/>
  <c r="J132" i="19" s="1"/>
  <c r="S23" i="20" a="1"/>
  <c r="M161" i="29" l="1"/>
  <c r="M172" i="29"/>
  <c r="M168" i="29"/>
  <c r="M138" i="29"/>
  <c r="M151" i="29"/>
  <c r="M164" i="29"/>
  <c r="M129" i="29"/>
  <c r="M169" i="29"/>
  <c r="M156" i="29"/>
  <c r="M160" i="29"/>
  <c r="M148" i="29"/>
  <c r="M114" i="29"/>
  <c r="M173" i="29"/>
  <c r="M165" i="29"/>
  <c r="M157" i="29"/>
  <c r="M142" i="29"/>
  <c r="M171" i="29"/>
  <c r="M167" i="29"/>
  <c r="M163" i="29"/>
  <c r="M159" i="29"/>
  <c r="M155" i="29"/>
  <c r="M147" i="29"/>
  <c r="M137" i="29"/>
  <c r="M106" i="29"/>
  <c r="M174" i="29"/>
  <c r="M170" i="29"/>
  <c r="M166" i="29"/>
  <c r="M162" i="29"/>
  <c r="M158" i="29"/>
  <c r="M152" i="29"/>
  <c r="M144" i="29"/>
  <c r="M130" i="29"/>
  <c r="M154" i="29"/>
  <c r="M150" i="29"/>
  <c r="M146" i="29"/>
  <c r="M141" i="29"/>
  <c r="M136" i="29"/>
  <c r="M125" i="29"/>
  <c r="M101" i="29"/>
  <c r="M153" i="29"/>
  <c r="M149" i="29"/>
  <c r="M145" i="29"/>
  <c r="M140" i="29"/>
  <c r="M133" i="29"/>
  <c r="M122" i="29"/>
  <c r="M117" i="29"/>
  <c r="M98" i="29"/>
  <c r="M109" i="29"/>
  <c r="M121" i="29"/>
  <c r="M113" i="29"/>
  <c r="M105" i="29"/>
  <c r="M94" i="29"/>
  <c r="M134" i="29"/>
  <c r="M126" i="29"/>
  <c r="M118" i="29"/>
  <c r="M110" i="29"/>
  <c r="M102" i="29"/>
  <c r="M132" i="29"/>
  <c r="M128" i="29"/>
  <c r="M124" i="29"/>
  <c r="M120" i="29"/>
  <c r="M116" i="29"/>
  <c r="M112" i="29"/>
  <c r="M108" i="29"/>
  <c r="M104" i="29"/>
  <c r="M100" i="29"/>
  <c r="M92" i="29"/>
  <c r="M143" i="29"/>
  <c r="M139" i="29"/>
  <c r="M135" i="29"/>
  <c r="M131" i="29"/>
  <c r="M127" i="29"/>
  <c r="M123" i="29"/>
  <c r="M119" i="29"/>
  <c r="M115" i="29"/>
  <c r="M111" i="29"/>
  <c r="M107" i="29"/>
  <c r="M103" i="29"/>
  <c r="M175" i="29"/>
  <c r="K175" i="29"/>
  <c r="N78" i="29" s="1"/>
  <c r="L175" i="29"/>
  <c r="M95" i="29"/>
  <c r="M96" i="29"/>
  <c r="M90" i="29"/>
  <c r="M176" i="29"/>
  <c r="M83" i="29"/>
  <c r="M91" i="29"/>
  <c r="M86" i="29"/>
  <c r="M82" i="29"/>
  <c r="M84" i="29"/>
  <c r="M87" i="29"/>
  <c r="M97" i="29"/>
  <c r="M93" i="29"/>
  <c r="M89" i="29"/>
  <c r="M88" i="29"/>
  <c r="M85" i="29"/>
  <c r="S23" i="20"/>
  <c r="T86" i="19" s="1"/>
  <c r="T110" i="19" s="1"/>
  <c r="T134" i="19" s="1"/>
  <c r="M30" i="20" a="1"/>
  <c r="M30" i="20" l="1"/>
  <c r="N93" i="19" s="1"/>
  <c r="N117" i="19" s="1"/>
  <c r="N141" i="19" s="1"/>
  <c r="P18" i="20" a="1"/>
  <c r="P18" i="20" l="1"/>
  <c r="Q81" i="19" s="1"/>
  <c r="Q105" i="19" s="1"/>
  <c r="Q129" i="19" s="1"/>
  <c r="N18" i="20" a="1"/>
  <c r="N18" i="20" l="1"/>
  <c r="O81" i="19" s="1"/>
  <c r="O105" i="19" s="1"/>
  <c r="O129" i="19" s="1"/>
  <c r="D31" i="20" a="1"/>
  <c r="D31" i="20" l="1"/>
  <c r="E94" i="19" s="1"/>
  <c r="E118" i="19" s="1"/>
  <c r="E142" i="19" s="1"/>
  <c r="H34" i="20" a="1"/>
  <c r="H34" i="20" l="1"/>
  <c r="I97" i="19" s="1"/>
  <c r="I121" i="19" s="1"/>
  <c r="I145" i="19" s="1"/>
  <c r="I34" i="20" a="1"/>
  <c r="I34" i="20" l="1"/>
  <c r="J97" i="19" s="1"/>
  <c r="J121" i="19" s="1"/>
  <c r="J145" i="19" s="1"/>
  <c r="F28" i="20" a="1"/>
  <c r="F28" i="20" l="1"/>
  <c r="G91" i="19" s="1"/>
  <c r="G115" i="19" s="1"/>
  <c r="G139" i="19" s="1"/>
  <c r="N20" i="20" a="1"/>
  <c r="N20" i="20" l="1"/>
  <c r="O83" i="19" s="1"/>
  <c r="O107" i="19" s="1"/>
  <c r="O131" i="19" s="1"/>
  <c r="N24" i="20" a="1"/>
  <c r="N24" i="20" l="1"/>
  <c r="O87" i="19" s="1"/>
  <c r="O111" i="19" s="1"/>
  <c r="O135" i="19" s="1"/>
  <c r="J17" i="20" a="1"/>
  <c r="J17" i="20" l="1"/>
  <c r="K80" i="19" s="1"/>
  <c r="K104" i="19" s="1"/>
  <c r="K128" i="19" s="1"/>
  <c r="N30" i="20" a="1"/>
  <c r="N30" i="20" l="1"/>
  <c r="O93" i="19" s="1"/>
  <c r="O117" i="19" s="1"/>
  <c r="O141" i="19" s="1"/>
  <c r="E16" i="20" a="1"/>
  <c r="E16" i="20" l="1"/>
  <c r="F79" i="19" s="1"/>
  <c r="K27" i="20" a="1"/>
  <c r="K27" i="20" l="1"/>
  <c r="L90" i="19" s="1"/>
  <c r="L114" i="19" s="1"/>
  <c r="L138" i="19" s="1"/>
  <c r="F103" i="19"/>
  <c r="F127" i="19" s="1"/>
  <c r="K26" i="20" a="1"/>
  <c r="K26" i="20" l="1"/>
  <c r="L89" i="19" s="1"/>
  <c r="L113" i="19" s="1"/>
  <c r="L137" i="19" s="1"/>
  <c r="R29" i="20" a="1"/>
  <c r="R29" i="20" l="1"/>
  <c r="S92" i="19" s="1"/>
  <c r="S116" i="19" s="1"/>
  <c r="S140" i="19" s="1"/>
  <c r="G22" i="20" a="1"/>
  <c r="G22" i="20" l="1"/>
  <c r="H85" i="19" s="1"/>
  <c r="H109" i="19" s="1"/>
  <c r="H133" i="19" s="1"/>
  <c r="G26" i="20" a="1"/>
  <c r="G26" i="20" l="1"/>
  <c r="H89" i="19" s="1"/>
  <c r="H113" i="19" s="1"/>
  <c r="H137" i="19" s="1"/>
  <c r="P31" i="20" a="1"/>
  <c r="P31" i="20" l="1"/>
  <c r="Q94" i="19" s="1"/>
  <c r="Q118" i="19" s="1"/>
  <c r="Q142" i="19" s="1"/>
  <c r="G23" i="20" a="1"/>
  <c r="G23" i="20" l="1"/>
  <c r="H86" i="19" s="1"/>
  <c r="H110" i="19" s="1"/>
  <c r="H134" i="19" s="1"/>
  <c r="I27" i="20" a="1"/>
  <c r="I27" i="20" l="1"/>
  <c r="J90" i="19" s="1"/>
  <c r="J114" i="19" s="1"/>
  <c r="J138" i="19" s="1"/>
  <c r="Q29" i="20" a="1"/>
  <c r="Q29" i="20" l="1"/>
  <c r="R92" i="19" s="1"/>
  <c r="R116" i="19" s="1"/>
  <c r="R140" i="19" s="1"/>
  <c r="E32" i="20" a="1"/>
  <c r="E32" i="20" l="1"/>
  <c r="F95" i="19" s="1"/>
  <c r="F119" i="19" s="1"/>
  <c r="F143" i="19" s="1"/>
  <c r="S21" i="20" a="1"/>
  <c r="S21" i="20" l="1"/>
  <c r="T84" i="19" s="1"/>
  <c r="T108" i="19" s="1"/>
  <c r="T132" i="19" s="1"/>
  <c r="K30" i="20" a="1"/>
  <c r="K30" i="20" l="1"/>
  <c r="L93" i="19" s="1"/>
  <c r="L117" i="19" s="1"/>
  <c r="L141" i="19" s="1"/>
  <c r="J24" i="20" a="1"/>
  <c r="J24" i="20" l="1"/>
  <c r="K87" i="19" s="1"/>
  <c r="K111" i="19" s="1"/>
  <c r="K135" i="19" s="1"/>
  <c r="O18" i="20" a="1"/>
  <c r="O18" i="20" l="1"/>
  <c r="P81" i="19" s="1"/>
  <c r="P105" i="19" s="1"/>
  <c r="P129" i="19" s="1"/>
  <c r="N26" i="20" a="1"/>
  <c r="N26" i="20" l="1"/>
  <c r="O89" i="19" s="1"/>
  <c r="O113" i="19" s="1"/>
  <c r="O137" i="19" s="1"/>
  <c r="H23" i="20" a="1"/>
  <c r="H23" i="20" l="1"/>
  <c r="I86" i="19" s="1"/>
  <c r="I110" i="19" s="1"/>
  <c r="I134" i="19" s="1"/>
  <c r="Q20" i="20" a="1"/>
  <c r="Q20" i="20" l="1"/>
  <c r="R83" i="19" s="1"/>
  <c r="R107" i="19" s="1"/>
  <c r="R131" i="19" s="1"/>
  <c r="Q18" i="20" a="1"/>
  <c r="Q18" i="20" l="1"/>
  <c r="R81" i="19" s="1"/>
  <c r="R105" i="19" s="1"/>
  <c r="R129" i="19" s="1"/>
  <c r="L30" i="20" a="1"/>
  <c r="L30" i="20" l="1"/>
  <c r="M93" i="19" s="1"/>
  <c r="M117" i="19" s="1"/>
  <c r="M141" i="19" s="1"/>
  <c r="F34" i="20" a="1"/>
  <c r="F34" i="20" l="1"/>
  <c r="G97" i="19" s="1"/>
  <c r="G121" i="19" s="1"/>
  <c r="G145" i="19" s="1"/>
  <c r="G18" i="20" a="1"/>
  <c r="G18" i="20" l="1"/>
  <c r="H81" i="19" s="1"/>
  <c r="H105" i="19" s="1"/>
  <c r="H129" i="19" s="1"/>
  <c r="O23" i="20" a="1"/>
  <c r="O23" i="20" l="1"/>
  <c r="P86" i="19" s="1"/>
  <c r="P110" i="19" s="1"/>
  <c r="P134" i="19" s="1"/>
  <c r="E19" i="20" a="1"/>
  <c r="E19" i="20" l="1"/>
  <c r="F82" i="19" s="1"/>
  <c r="F106" i="19" s="1"/>
  <c r="F130" i="19" s="1"/>
  <c r="Q32" i="20" a="1"/>
  <c r="Q32" i="20" l="1"/>
  <c r="R95" i="19" s="1"/>
  <c r="R119" i="19" s="1"/>
  <c r="R143" i="19" s="1"/>
  <c r="J20" i="20" a="1"/>
  <c r="J20" i="20" l="1"/>
  <c r="K83" i="19" s="1"/>
  <c r="K107" i="19" s="1"/>
  <c r="K131" i="19" s="1"/>
  <c r="H35" i="20" a="1"/>
  <c r="H35" i="20" l="1"/>
  <c r="I98" i="19" s="1"/>
  <c r="I122" i="19" s="1"/>
  <c r="I146" i="19" s="1"/>
  <c r="H16" i="20" a="1"/>
  <c r="H16" i="20" l="1"/>
  <c r="I79" i="19" s="1"/>
  <c r="I103" i="19" s="1"/>
  <c r="I127" i="19" s="1"/>
  <c r="D18" i="20" a="1"/>
  <c r="D18" i="20" l="1"/>
  <c r="E81" i="19" s="1"/>
  <c r="E105" i="19" s="1"/>
  <c r="E129" i="19" s="1"/>
  <c r="D30" i="20" a="1"/>
  <c r="D30" i="20" l="1"/>
  <c r="E93" i="19" s="1"/>
  <c r="E117" i="19" s="1"/>
  <c r="E141" i="19" s="1"/>
  <c r="S24" i="20" a="1"/>
  <c r="S24" i="20" l="1"/>
  <c r="T87" i="19" s="1"/>
  <c r="T111" i="19" s="1"/>
  <c r="T135" i="19" s="1"/>
  <c r="L24" i="20" a="1"/>
  <c r="L24" i="20" l="1"/>
  <c r="M87" i="19" s="1"/>
  <c r="M111" i="19" s="1"/>
  <c r="M135" i="19" s="1"/>
  <c r="R24" i="20" a="1"/>
  <c r="R24" i="20" l="1"/>
  <c r="S87" i="19" s="1"/>
  <c r="S111" i="19" s="1"/>
  <c r="S135" i="19" s="1"/>
  <c r="E22" i="20" a="1"/>
  <c r="E22" i="20" l="1"/>
  <c r="F85" i="19" s="1"/>
  <c r="F109" i="19" s="1"/>
  <c r="F133" i="19" s="1"/>
  <c r="K16" i="20" a="1"/>
  <c r="K16" i="20" l="1"/>
  <c r="L79" i="19" s="1"/>
  <c r="L103" i="19" s="1"/>
  <c r="L127" i="19" s="1"/>
  <c r="H25" i="20" a="1"/>
  <c r="H25" i="20" l="1"/>
  <c r="I88" i="19" s="1"/>
  <c r="I112" i="19" s="1"/>
  <c r="I136" i="19" s="1"/>
  <c r="J28" i="20" a="1"/>
  <c r="J28" i="20" l="1"/>
  <c r="K91" i="19" s="1"/>
  <c r="K115" i="19" s="1"/>
  <c r="K139" i="19" s="1"/>
  <c r="L18" i="20" a="1"/>
  <c r="L18" i="20" l="1"/>
  <c r="M81" i="19" s="1"/>
  <c r="M105" i="19" s="1"/>
  <c r="M129" i="19" s="1"/>
  <c r="N17" i="20" a="1"/>
  <c r="N17" i="20" l="1"/>
  <c r="O80" i="19" s="1"/>
  <c r="O104" i="19" s="1"/>
  <c r="O128" i="19" s="1"/>
  <c r="H18" i="20" a="1"/>
  <c r="H18" i="20" l="1"/>
  <c r="I81" i="19" s="1"/>
  <c r="I105" i="19" s="1"/>
  <c r="I129" i="19" s="1"/>
  <c r="F24" i="20" a="1"/>
  <c r="F24" i="20" l="1"/>
  <c r="G87" i="19" s="1"/>
  <c r="G111" i="19" s="1"/>
  <c r="G135" i="19" s="1"/>
  <c r="L35" i="20" a="1"/>
  <c r="L35" i="20" l="1"/>
  <c r="M98" i="19" s="1"/>
  <c r="M122" i="19" s="1"/>
  <c r="M146" i="19" s="1"/>
  <c r="L22" i="20" a="1"/>
  <c r="L22" i="20" l="1"/>
  <c r="M85" i="19" s="1"/>
  <c r="M109" i="19" s="1"/>
  <c r="M133" i="19" s="1"/>
  <c r="E24" i="20" a="1"/>
  <c r="E24" i="20" l="1"/>
  <c r="F87" i="19" s="1"/>
  <c r="F111" i="19" s="1"/>
  <c r="F135" i="19" s="1"/>
  <c r="Q23" i="20" a="1"/>
  <c r="Q23" i="20" l="1"/>
  <c r="R86" i="19" s="1"/>
  <c r="R110" i="19" s="1"/>
  <c r="R134" i="19" s="1"/>
  <c r="K24" i="20" a="1"/>
  <c r="K24" i="20" l="1"/>
  <c r="L87" i="19" s="1"/>
  <c r="L111" i="19" s="1"/>
  <c r="L135" i="19" s="1"/>
  <c r="N29" i="20" a="1"/>
  <c r="N29" i="20" l="1"/>
  <c r="O92" i="19" s="1"/>
  <c r="O116" i="19" s="1"/>
  <c r="O140" i="19" s="1"/>
  <c r="S32" i="20" a="1"/>
  <c r="S32" i="20" l="1"/>
  <c r="T95" i="19" s="1"/>
  <c r="T119" i="19" s="1"/>
  <c r="T143" i="19" s="1"/>
  <c r="S30" i="20" a="1"/>
  <c r="S30" i="20" l="1"/>
  <c r="T93" i="19" s="1"/>
  <c r="T117" i="19" s="1"/>
  <c r="T141" i="19" s="1"/>
  <c r="D24" i="20" a="1"/>
  <c r="D24" i="20" l="1"/>
  <c r="E87" i="19" s="1"/>
  <c r="E111" i="19" s="1"/>
  <c r="E135" i="19" s="1"/>
  <c r="P20" i="20" a="1"/>
  <c r="P20" i="20" l="1"/>
  <c r="Q83" i="19" s="1"/>
  <c r="Q107" i="19" s="1"/>
  <c r="Q131" i="19" s="1"/>
  <c r="E29" i="20" a="1"/>
  <c r="E29" i="20" l="1"/>
  <c r="F92" i="19" s="1"/>
  <c r="F116" i="19" s="1"/>
  <c r="F140" i="19" s="1"/>
  <c r="J30" i="20" a="1"/>
  <c r="J30" i="20" l="1"/>
  <c r="K93" i="19" s="1"/>
  <c r="K117" i="19" s="1"/>
  <c r="K141" i="19" s="1"/>
  <c r="E17" i="20" a="1"/>
  <c r="E17" i="20" l="1"/>
  <c r="F80" i="19" s="1"/>
  <c r="F104" i="19" s="1"/>
  <c r="F128" i="19" s="1"/>
  <c r="J16" i="20" a="1"/>
  <c r="L28" i="20" a="1"/>
  <c r="J16" i="20" l="1"/>
  <c r="K79" i="19" s="1"/>
  <c r="K103" i="19" s="1"/>
  <c r="K127" i="19" s="1"/>
  <c r="L28" i="20"/>
  <c r="M91" i="19" s="1"/>
  <c r="M115" i="19" s="1"/>
  <c r="M139" i="19" s="1"/>
  <c r="Q30" i="20" a="1"/>
  <c r="Q30" i="20" l="1"/>
  <c r="R93" i="19" s="1"/>
  <c r="R117" i="19" s="1"/>
  <c r="R141" i="19" s="1"/>
  <c r="F17" i="20" a="1"/>
  <c r="F17" i="20" l="1"/>
  <c r="G80" i="19" s="1"/>
  <c r="G104" i="19" s="1"/>
  <c r="G128" i="19" s="1"/>
  <c r="M34" i="20" a="1"/>
  <c r="M34" i="20" l="1"/>
  <c r="N97" i="19" s="1"/>
  <c r="N121" i="19" s="1"/>
  <c r="N145" i="19" s="1"/>
  <c r="Q28" i="20" a="1"/>
  <c r="Q28" i="20" l="1"/>
  <c r="R91" i="19" s="1"/>
  <c r="R115" i="19" s="1"/>
  <c r="R139" i="19" s="1"/>
  <c r="P21" i="20" a="1"/>
  <c r="P21" i="20" l="1"/>
  <c r="Q84" i="19" s="1"/>
  <c r="Q108" i="19" s="1"/>
  <c r="Q132" i="19" s="1"/>
  <c r="M29" i="20" a="1"/>
  <c r="M29" i="20" l="1"/>
  <c r="N92" i="19" s="1"/>
  <c r="N116" i="19" s="1"/>
  <c r="N140" i="19" s="1"/>
  <c r="H19" i="20" a="1"/>
  <c r="H19" i="20" l="1"/>
  <c r="I82" i="19" s="1"/>
  <c r="I106" i="19" s="1"/>
  <c r="I130" i="19" s="1"/>
  <c r="L27" i="20" a="1"/>
  <c r="L27" i="20" l="1"/>
  <c r="M90" i="19" s="1"/>
  <c r="M114" i="19" s="1"/>
  <c r="M138" i="19" s="1"/>
  <c r="O17" i="20" a="1"/>
  <c r="O17" i="20" l="1"/>
  <c r="P80" i="19" s="1"/>
  <c r="P104" i="19" s="1"/>
  <c r="P128" i="19" s="1"/>
  <c r="F18" i="20" a="1"/>
  <c r="F18" i="20" l="1"/>
  <c r="G81" i="19" s="1"/>
  <c r="G105" i="19" s="1"/>
  <c r="G129" i="19" s="1"/>
  <c r="K22" i="20" a="1"/>
  <c r="K22" i="20" l="1"/>
  <c r="L85" i="19" s="1"/>
  <c r="L109" i="19" s="1"/>
  <c r="L133" i="19" s="1"/>
  <c r="O28" i="20" a="1"/>
  <c r="O28" i="20" l="1"/>
  <c r="P91" i="19" s="1"/>
  <c r="P115" i="19" s="1"/>
  <c r="P139" i="19" s="1"/>
  <c r="S34" i="20" a="1"/>
  <c r="S34" i="20" l="1"/>
  <c r="T97" i="19" s="1"/>
  <c r="T121" i="19" s="1"/>
  <c r="T145" i="19" s="1"/>
  <c r="E25" i="20" a="1"/>
  <c r="E25" i="20" l="1"/>
  <c r="F88" i="19" s="1"/>
  <c r="F112" i="19" s="1"/>
  <c r="F136" i="19" s="1"/>
  <c r="K29" i="20" a="1"/>
  <c r="K29" i="20" l="1"/>
  <c r="L92" i="19" s="1"/>
  <c r="L116" i="19" s="1"/>
  <c r="L140" i="19" s="1"/>
  <c r="S27" i="20" a="1"/>
  <c r="S27" i="20" l="1"/>
  <c r="T90" i="19" s="1"/>
  <c r="T114" i="19" s="1"/>
  <c r="T138" i="19" s="1"/>
  <c r="F32" i="20" a="1"/>
  <c r="F32" i="20" l="1"/>
  <c r="G95" i="19" s="1"/>
  <c r="G119" i="19" s="1"/>
  <c r="G143" i="19" s="1"/>
  <c r="O19" i="20" a="1"/>
  <c r="O19" i="20" l="1"/>
  <c r="P82" i="19" s="1"/>
  <c r="P106" i="19" s="1"/>
  <c r="P130" i="19" s="1"/>
  <c r="M22" i="20" a="1"/>
  <c r="M22" i="20" l="1"/>
  <c r="N85" i="19" s="1"/>
  <c r="N109" i="19" s="1"/>
  <c r="N133" i="19" s="1"/>
  <c r="I19" i="20" a="1"/>
  <c r="I19" i="20" l="1"/>
  <c r="J82" i="19" s="1"/>
  <c r="J106" i="19" s="1"/>
  <c r="J130" i="19" s="1"/>
  <c r="E27" i="20" a="1"/>
  <c r="E27" i="20" l="1"/>
  <c r="F90" i="19" s="1"/>
  <c r="F114" i="19" s="1"/>
  <c r="F138" i="19" s="1"/>
  <c r="I25" i="20" a="1"/>
  <c r="I25" i="20" l="1"/>
  <c r="J88" i="19" s="1"/>
  <c r="J112" i="19" s="1"/>
  <c r="J136" i="19" s="1"/>
  <c r="M33" i="20" a="1"/>
  <c r="M33" i="20" l="1"/>
  <c r="N96" i="19" s="1"/>
  <c r="N120" i="19" s="1"/>
  <c r="N144" i="19" s="1"/>
  <c r="F27" i="20" a="1"/>
  <c r="F27" i="20" l="1"/>
  <c r="G90" i="19" s="1"/>
  <c r="G114" i="19" s="1"/>
  <c r="G138" i="19" s="1"/>
  <c r="N35" i="20" a="1"/>
  <c r="N35" i="20" l="1"/>
  <c r="O98" i="19" s="1"/>
  <c r="O122" i="19" s="1"/>
  <c r="O146" i="19" s="1"/>
  <c r="I18" i="20" a="1"/>
  <c r="I18" i="20" l="1"/>
  <c r="J81" i="19" s="1"/>
  <c r="J105" i="19" s="1"/>
  <c r="J129" i="19" s="1"/>
  <c r="L17" i="20" a="1"/>
  <c r="L17" i="20" l="1"/>
  <c r="M80" i="19" s="1"/>
  <c r="M104" i="19" s="1"/>
  <c r="M128" i="19" s="1"/>
  <c r="S26" i="20" a="1"/>
  <c r="S26" i="20" l="1"/>
  <c r="T89" i="19" s="1"/>
  <c r="T113" i="19" s="1"/>
  <c r="T137" i="19" s="1"/>
  <c r="R30" i="20" a="1"/>
  <c r="R30" i="20" l="1"/>
  <c r="S93" i="19" s="1"/>
  <c r="S117" i="19" s="1"/>
  <c r="S141" i="19" s="1"/>
  <c r="D27" i="20" a="1"/>
  <c r="D27" i="20" l="1"/>
  <c r="E90" i="19" s="1"/>
  <c r="E114" i="19" s="1"/>
  <c r="E138" i="19" s="1"/>
  <c r="O34" i="20" a="1"/>
  <c r="O34" i="20" l="1"/>
  <c r="P97" i="19" s="1"/>
  <c r="P121" i="19" s="1"/>
  <c r="P145" i="19" s="1"/>
  <c r="I29" i="20" a="1"/>
  <c r="I29" i="20" l="1"/>
  <c r="J92" i="19" s="1"/>
  <c r="J116" i="19" s="1"/>
  <c r="J140" i="19" s="1"/>
  <c r="G30" i="20" a="1"/>
  <c r="G30" i="20" l="1"/>
  <c r="H93" i="19" s="1"/>
  <c r="H117" i="19" s="1"/>
  <c r="H141" i="19" s="1"/>
  <c r="E21" i="20" a="1"/>
  <c r="E21" i="20" l="1"/>
  <c r="F84" i="19" s="1"/>
  <c r="F108" i="19" s="1"/>
  <c r="F132" i="19" s="1"/>
  <c r="S17" i="20" a="1"/>
  <c r="S17" i="20" l="1"/>
  <c r="T80" i="19" s="1"/>
  <c r="T104" i="19" s="1"/>
  <c r="T128" i="19" s="1"/>
  <c r="M16" i="20" a="1"/>
  <c r="M16" i="20" l="1"/>
  <c r="N79" i="19" s="1"/>
  <c r="N103" i="19" s="1"/>
  <c r="N127" i="19" s="1"/>
  <c r="Q27" i="20" a="1"/>
  <c r="Q27" i="20" l="1"/>
  <c r="R90" i="19" s="1"/>
  <c r="R114" i="19" s="1"/>
  <c r="R138" i="19" s="1"/>
  <c r="R22" i="20" a="1"/>
  <c r="R22" i="20" l="1"/>
  <c r="S85" i="19" s="1"/>
  <c r="S109" i="19" s="1"/>
  <c r="S133" i="19" s="1"/>
  <c r="I20" i="20" a="1"/>
  <c r="I20" i="20" l="1"/>
  <c r="J83" i="19" s="1"/>
  <c r="J107" i="19" s="1"/>
  <c r="J131" i="19" s="1"/>
  <c r="H33" i="20" a="1"/>
  <c r="H33" i="20" l="1"/>
  <c r="I96" i="19" s="1"/>
  <c r="I120" i="19" s="1"/>
  <c r="I144" i="19" s="1"/>
  <c r="R26" i="20" a="1"/>
  <c r="R26" i="20" l="1"/>
  <c r="S89" i="19" s="1"/>
  <c r="S113" i="19" s="1"/>
  <c r="S137" i="19" s="1"/>
  <c r="N22" i="20" a="1"/>
  <c r="N22" i="20" l="1"/>
  <c r="O85" i="19" s="1"/>
  <c r="O109" i="19" s="1"/>
  <c r="O133" i="19" s="1"/>
  <c r="L34" i="20" a="1"/>
  <c r="L34" i="20" l="1"/>
  <c r="M97" i="19" s="1"/>
  <c r="M121" i="19" s="1"/>
  <c r="M145" i="19" s="1"/>
  <c r="J29" i="20" a="1"/>
  <c r="J29" i="20" l="1"/>
  <c r="K92" i="19" s="1"/>
  <c r="K116" i="19" s="1"/>
  <c r="K140" i="19" s="1"/>
  <c r="E28" i="20" a="1"/>
  <c r="E28" i="20" l="1"/>
  <c r="F91" i="19" s="1"/>
  <c r="F115" i="19" s="1"/>
  <c r="F139" i="19" s="1"/>
  <c r="R27" i="20" a="1"/>
  <c r="R27" i="20" l="1"/>
  <c r="S90" i="19" s="1"/>
  <c r="S114" i="19" s="1"/>
  <c r="S138" i="19" s="1"/>
  <c r="O16" i="20" a="1"/>
  <c r="O16" i="20" l="1"/>
  <c r="P79" i="19" s="1"/>
  <c r="P103" i="19" s="1"/>
  <c r="P127" i="19" s="1"/>
  <c r="F22" i="20" a="1"/>
  <c r="F22" i="20" l="1"/>
  <c r="G85" i="19" s="1"/>
  <c r="G109" i="19" s="1"/>
  <c r="G133" i="19" s="1"/>
  <c r="P17" i="20" a="1"/>
  <c r="P17" i="20" l="1"/>
  <c r="Q80" i="19" s="1"/>
  <c r="Q104" i="19" s="1"/>
  <c r="Q128" i="19" s="1"/>
  <c r="K28" i="20" a="1"/>
  <c r="K28" i="20" l="1"/>
  <c r="L91" i="19" s="1"/>
  <c r="L115" i="19" s="1"/>
  <c r="L139" i="19" s="1"/>
  <c r="S29" i="20" a="1"/>
  <c r="S29" i="20" l="1"/>
  <c r="T92" i="19" s="1"/>
  <c r="T116" i="19" s="1"/>
  <c r="T140" i="19" s="1"/>
  <c r="S31" i="20" a="1"/>
  <c r="S31" i="20" l="1"/>
  <c r="T94" i="19" s="1"/>
  <c r="T118" i="19" s="1"/>
  <c r="T142" i="19" s="1"/>
  <c r="J35" i="20" a="1"/>
  <c r="J35" i="20" l="1"/>
  <c r="K98" i="19" s="1"/>
  <c r="K122" i="19" s="1"/>
  <c r="K146" i="19" s="1"/>
  <c r="H21" i="20" a="1"/>
  <c r="H21" i="20" l="1"/>
  <c r="I84" i="19" s="1"/>
  <c r="I108" i="19" s="1"/>
  <c r="I132" i="19" s="1"/>
  <c r="K33" i="20" a="1"/>
  <c r="K33" i="20" l="1"/>
  <c r="L96" i="19" s="1"/>
  <c r="L120" i="19" s="1"/>
  <c r="L144" i="19" s="1"/>
  <c r="N31" i="20" a="1"/>
  <c r="N31" i="20" l="1"/>
  <c r="O94" i="19" s="1"/>
  <c r="O118" i="19" s="1"/>
  <c r="O142" i="19" s="1"/>
  <c r="I23" i="20" a="1"/>
  <c r="I23" i="20" l="1"/>
  <c r="J86" i="19" s="1"/>
  <c r="J110" i="19" s="1"/>
  <c r="J134" i="19" s="1"/>
  <c r="H20" i="20" a="1"/>
  <c r="H20" i="20" l="1"/>
  <c r="I83" i="19" s="1"/>
  <c r="I107" i="19" s="1"/>
  <c r="I131" i="19" s="1"/>
  <c r="J25" i="20" a="1"/>
  <c r="J25" i="20" l="1"/>
  <c r="K88" i="19" s="1"/>
  <c r="K112" i="19" s="1"/>
  <c r="K136" i="19" s="1"/>
  <c r="P27" i="20" a="1"/>
  <c r="P27" i="20" l="1"/>
  <c r="Q90" i="19" s="1"/>
  <c r="Q114" i="19" s="1"/>
  <c r="Q138" i="19" s="1"/>
  <c r="F20" i="20" a="1"/>
  <c r="F20" i="20" l="1"/>
  <c r="G83" i="19" s="1"/>
  <c r="G107" i="19" s="1"/>
  <c r="G131" i="19" s="1"/>
  <c r="J32" i="20" a="1"/>
  <c r="J32" i="20" l="1"/>
  <c r="K95" i="19" s="1"/>
  <c r="K119" i="19" s="1"/>
  <c r="K143" i="19" s="1"/>
  <c r="S20" i="20" a="1"/>
  <c r="S20" i="20" l="1"/>
  <c r="T83" i="19" s="1"/>
  <c r="T107" i="19" s="1"/>
  <c r="T131" i="19" s="1"/>
  <c r="L32" i="20" a="1"/>
  <c r="L32" i="20" l="1"/>
  <c r="M95" i="19" s="1"/>
  <c r="M119" i="19" s="1"/>
  <c r="M143" i="19" s="1"/>
  <c r="K35" i="20" a="1"/>
  <c r="K35" i="20" l="1"/>
  <c r="L98" i="19" s="1"/>
  <c r="L122" i="19" s="1"/>
  <c r="L146" i="19" s="1"/>
  <c r="F31" i="20" a="1"/>
  <c r="F31" i="20" l="1"/>
  <c r="G94" i="19" s="1"/>
  <c r="G118" i="19" s="1"/>
  <c r="G142" i="19" s="1"/>
  <c r="I28" i="20" a="1"/>
  <c r="I28" i="20" l="1"/>
  <c r="J91" i="19" s="1"/>
  <c r="J115" i="19" s="1"/>
  <c r="J139" i="19" s="1"/>
  <c r="J33" i="20" a="1"/>
  <c r="J33" i="20" l="1"/>
  <c r="K96" i="19" s="1"/>
  <c r="K120" i="19" s="1"/>
  <c r="K144" i="19" s="1"/>
  <c r="N16" i="20" a="1"/>
  <c r="N16" i="20" l="1"/>
  <c r="O79" i="19" s="1"/>
  <c r="O103" i="19" s="1"/>
  <c r="O127" i="19" s="1"/>
  <c r="F23" i="20" a="1"/>
  <c r="F23" i="20" l="1"/>
  <c r="G86" i="19" s="1"/>
  <c r="G110" i="19" s="1"/>
  <c r="G134" i="19" s="1"/>
  <c r="E23" i="20" a="1"/>
  <c r="E23" i="20" l="1"/>
  <c r="F86" i="19" s="1"/>
  <c r="F110" i="19" s="1"/>
  <c r="F134" i="19" s="1"/>
  <c r="P28" i="20" a="1"/>
  <c r="P28" i="20" l="1"/>
  <c r="Q91" i="19" s="1"/>
  <c r="Q115" i="19" s="1"/>
  <c r="Q139" i="19" s="1"/>
  <c r="I33" i="20" a="1"/>
  <c r="I33" i="20" l="1"/>
  <c r="J96" i="19" s="1"/>
  <c r="J120" i="19" s="1"/>
  <c r="J144" i="19" s="1"/>
  <c r="S19" i="20" a="1"/>
  <c r="S19" i="20" l="1"/>
  <c r="T82" i="19" s="1"/>
  <c r="T106" i="19" s="1"/>
  <c r="T130" i="19" s="1"/>
  <c r="P32" i="20" a="1"/>
  <c r="P32" i="20" l="1"/>
  <c r="Q95" i="19" s="1"/>
  <c r="Q119" i="19" s="1"/>
  <c r="Q143" i="19" s="1"/>
  <c r="G34" i="20" a="1"/>
  <c r="G34" i="20" l="1"/>
  <c r="H97" i="19" s="1"/>
  <c r="H121" i="19" s="1"/>
  <c r="H145" i="19" s="1"/>
  <c r="R21" i="20" a="1"/>
  <c r="R21" i="20" l="1"/>
  <c r="S84" i="19" s="1"/>
  <c r="S108" i="19" s="1"/>
  <c r="S132" i="19" s="1"/>
  <c r="N21" i="20" a="1"/>
  <c r="N21" i="20" l="1"/>
  <c r="O84" i="19" s="1"/>
  <c r="O108" i="19" s="1"/>
  <c r="O132" i="19" s="1"/>
  <c r="L33" i="20" a="1"/>
  <c r="L33" i="20" l="1"/>
  <c r="M96" i="19" s="1"/>
  <c r="M120" i="19" s="1"/>
  <c r="M144" i="19" s="1"/>
  <c r="D28" i="20" a="1"/>
  <c r="D28" i="20" l="1"/>
  <c r="E91" i="19" s="1"/>
  <c r="E115" i="19" s="1"/>
  <c r="E139" i="19" s="1"/>
  <c r="O35" i="20" a="1"/>
  <c r="O35" i="20" l="1"/>
  <c r="P98" i="19" s="1"/>
  <c r="P122" i="19" s="1"/>
  <c r="P146" i="19" s="1"/>
  <c r="O32" i="20" a="1"/>
  <c r="O32" i="20" l="1"/>
  <c r="P95" i="19" s="1"/>
  <c r="P119" i="19" s="1"/>
  <c r="P143" i="19" s="1"/>
  <c r="O30" i="20" a="1"/>
  <c r="O30" i="20" l="1"/>
  <c r="P93" i="19" s="1"/>
  <c r="P117" i="19" s="1"/>
  <c r="P141" i="19" s="1"/>
  <c r="G28" i="20" a="1"/>
  <c r="G28" i="20" l="1"/>
  <c r="H91" i="19" s="1"/>
  <c r="H115" i="19" s="1"/>
  <c r="H139" i="19" s="1"/>
  <c r="M19" i="20" a="1"/>
  <c r="M19" i="20" l="1"/>
  <c r="N82" i="19" s="1"/>
  <c r="N106" i="19" s="1"/>
  <c r="N130" i="19" s="1"/>
  <c r="R31" i="20" a="1"/>
  <c r="R31" i="20" l="1"/>
  <c r="S94" i="19" s="1"/>
  <c r="S118" i="19" s="1"/>
  <c r="S142" i="19" s="1"/>
  <c r="O21" i="20" a="1"/>
  <c r="O21" i="20" l="1"/>
  <c r="P84" i="19" s="1"/>
  <c r="P108" i="19" s="1"/>
  <c r="P132" i="19" s="1"/>
  <c r="R34" i="20" a="1"/>
  <c r="R34" i="20" l="1"/>
  <c r="S97" i="19" s="1"/>
  <c r="S121" i="19" s="1"/>
  <c r="S145" i="19" s="1"/>
  <c r="K20" i="20" a="1"/>
  <c r="K20" i="20" l="1"/>
  <c r="L83" i="19" s="1"/>
  <c r="L107" i="19" s="1"/>
  <c r="L131" i="19" s="1"/>
  <c r="J26" i="20" a="1"/>
  <c r="J26" i="20" l="1"/>
  <c r="K89" i="19" s="1"/>
  <c r="K113" i="19" s="1"/>
  <c r="K137" i="19" s="1"/>
  <c r="P24" i="20" a="1"/>
  <c r="P24" i="20" l="1"/>
  <c r="Q87" i="19" s="1"/>
  <c r="Q111" i="19" s="1"/>
  <c r="Q135" i="19" s="1"/>
  <c r="D35" i="20" a="1"/>
  <c r="D35" i="20" l="1"/>
  <c r="E98" i="19" s="1"/>
  <c r="E122" i="19" s="1"/>
  <c r="E146" i="19" s="1"/>
  <c r="K21" i="20" a="1"/>
  <c r="K21" i="20" l="1"/>
  <c r="L84" i="19" s="1"/>
  <c r="L108" i="19" s="1"/>
  <c r="L132" i="19" s="1"/>
  <c r="D17" i="20" a="1"/>
  <c r="D17" i="20" l="1"/>
  <c r="E80" i="19" s="1"/>
  <c r="E104" i="19" s="1"/>
  <c r="E128" i="19" s="1"/>
  <c r="L16" i="20" a="1"/>
  <c r="L16" i="20" l="1"/>
  <c r="M79" i="19" s="1"/>
  <c r="M103" i="19" s="1"/>
  <c r="M127" i="19" s="1"/>
  <c r="G24" i="20" a="1"/>
  <c r="G24" i="20" l="1"/>
  <c r="H87" i="19" s="1"/>
  <c r="H111" i="19" s="1"/>
  <c r="H135" i="19" s="1"/>
  <c r="I26" i="20" a="1"/>
  <c r="I26" i="20" l="1"/>
  <c r="J89" i="19" s="1"/>
  <c r="M17" i="20" a="1"/>
  <c r="J113" i="19" l="1"/>
  <c r="J137" i="19" s="1"/>
  <c r="M17" i="20"/>
  <c r="N80" i="19" s="1"/>
  <c r="N104" i="19" s="1"/>
  <c r="N128" i="19" s="1"/>
  <c r="I31" i="20" a="1"/>
  <c r="I31" i="20" l="1"/>
  <c r="J94" i="19" s="1"/>
  <c r="J118" i="19" s="1"/>
  <c r="J142" i="19" s="1"/>
  <c r="N23" i="20" a="1"/>
  <c r="N23" i="20" l="1"/>
  <c r="O86" i="19" s="1"/>
  <c r="O110" i="19" s="1"/>
  <c r="O134" i="19" s="1"/>
  <c r="M35" i="20" a="1"/>
  <c r="M35" i="20" l="1"/>
  <c r="N98" i="19" s="1"/>
  <c r="N122" i="19" s="1"/>
  <c r="N146" i="19" s="1"/>
  <c r="L29" i="20" a="1"/>
  <c r="L29" i="20" l="1"/>
  <c r="M92" i="19" s="1"/>
  <c r="M116" i="19" s="1"/>
  <c r="M140" i="19" s="1"/>
  <c r="P29" i="20" a="1"/>
  <c r="P29" i="20" l="1"/>
  <c r="Q92" i="19" s="1"/>
  <c r="Q116" i="19" s="1"/>
  <c r="Q140" i="19" s="1"/>
  <c r="Q24" i="20" a="1"/>
  <c r="Q24" i="20" l="1"/>
  <c r="R87" i="19" s="1"/>
  <c r="R111" i="19" s="1"/>
  <c r="R135" i="19" s="1"/>
  <c r="F35" i="20" a="1"/>
  <c r="F35" i="20" l="1"/>
  <c r="G98" i="19" s="1"/>
  <c r="G122" i="19" s="1"/>
  <c r="G146" i="19" s="1"/>
  <c r="J31" i="20" a="1"/>
  <c r="J31" i="20" l="1"/>
  <c r="K94" i="19" s="1"/>
  <c r="K118" i="19" s="1"/>
  <c r="K142" i="19" s="1"/>
  <c r="Q31" i="20" a="1"/>
  <c r="Q31" i="20" l="1"/>
  <c r="R94" i="19" s="1"/>
  <c r="R118" i="19" s="1"/>
  <c r="R142" i="19" s="1"/>
  <c r="I22" i="20" a="1"/>
  <c r="I22" i="20" l="1"/>
  <c r="J85" i="19" s="1"/>
  <c r="J109" i="19" s="1"/>
  <c r="J133" i="19" s="1"/>
  <c r="H26" i="20" a="1"/>
  <c r="H26" i="20" l="1"/>
  <c r="I89" i="19" s="1"/>
  <c r="I113" i="19" s="1"/>
  <c r="I137" i="19" s="1"/>
  <c r="S22" i="20" a="1"/>
  <c r="S22" i="20" l="1"/>
  <c r="T85" i="19" s="1"/>
  <c r="T109" i="19" s="1"/>
  <c r="T133" i="19" s="1"/>
  <c r="S33" i="20" a="1"/>
  <c r="S33" i="20" l="1"/>
  <c r="T96" i="19" s="1"/>
  <c r="T120" i="19" s="1"/>
  <c r="T144" i="19" s="1"/>
  <c r="R20" i="20" a="1"/>
  <c r="R20" i="20" l="1"/>
  <c r="S83" i="19" s="1"/>
  <c r="S107" i="19" s="1"/>
  <c r="S131" i="19" s="1"/>
  <c r="L21" i="20" a="1"/>
  <c r="L21" i="20" l="1"/>
  <c r="M84" i="19" s="1"/>
  <c r="M108" i="19" s="1"/>
  <c r="M132" i="19" s="1"/>
  <c r="H27" i="20" a="1"/>
  <c r="H27" i="20" l="1"/>
  <c r="I90" i="19" s="1"/>
  <c r="I114" i="19" s="1"/>
  <c r="I138" i="19" s="1"/>
  <c r="I35" i="20" a="1"/>
  <c r="I35" i="20" l="1"/>
  <c r="J98" i="19" s="1"/>
  <c r="J122" i="19" s="1"/>
  <c r="J146" i="19" s="1"/>
  <c r="M28" i="20" a="1"/>
  <c r="M28" i="20" l="1"/>
  <c r="N91" i="19" s="1"/>
  <c r="N115" i="19" s="1"/>
  <c r="N139" i="19" s="1"/>
  <c r="S18" i="20" a="1"/>
  <c r="S18" i="20" l="1"/>
  <c r="T81" i="19" s="1"/>
  <c r="T105" i="19" s="1"/>
  <c r="T129" i="19" s="1"/>
  <c r="L20" i="20" a="1"/>
  <c r="L20" i="20" l="1"/>
  <c r="M83" i="19" s="1"/>
  <c r="M107" i="19" s="1"/>
  <c r="M131" i="19" s="1"/>
  <c r="K17" i="20" a="1"/>
  <c r="K17" i="20" l="1"/>
  <c r="L80" i="19" s="1"/>
  <c r="L104" i="19" s="1"/>
  <c r="L128" i="19" s="1"/>
  <c r="R23" i="20" a="1"/>
  <c r="R23" i="20" l="1"/>
  <c r="S86" i="19" s="1"/>
  <c r="S110" i="19" s="1"/>
  <c r="S134" i="19" s="1"/>
  <c r="E20" i="20" a="1"/>
  <c r="E20" i="20" l="1"/>
  <c r="F83" i="19" s="1"/>
  <c r="F107" i="19" s="1"/>
  <c r="F131" i="19" s="1"/>
  <c r="I16" i="20" a="1"/>
  <c r="I16" i="20" l="1"/>
  <c r="J79" i="19" s="1"/>
  <c r="J103" i="19" s="1"/>
  <c r="J127" i="19" s="1"/>
  <c r="D20" i="20" a="1"/>
  <c r="D20" i="20" l="1"/>
  <c r="E83" i="19" s="1"/>
  <c r="E107" i="19" s="1"/>
  <c r="E131" i="19" s="1"/>
  <c r="N33" i="20" a="1"/>
  <c r="N33" i="20" l="1"/>
  <c r="O96" i="19" s="1"/>
  <c r="O120" i="19" s="1"/>
  <c r="O144" i="19" s="1"/>
  <c r="G20" i="20" a="1"/>
  <c r="G20" i="20" l="1"/>
  <c r="H83" i="19" s="1"/>
  <c r="H107" i="19" s="1"/>
  <c r="H131" i="19" s="1"/>
  <c r="R35" i="20" a="1"/>
  <c r="R35" i="20" l="1"/>
  <c r="S98" i="19" s="1"/>
  <c r="S122" i="19" s="1"/>
  <c r="S146" i="19" s="1"/>
  <c r="P16" i="20" a="1"/>
  <c r="P16" i="20" l="1"/>
  <c r="Q79" i="19" s="1"/>
  <c r="Q103" i="19" s="1"/>
  <c r="Q127" i="19" s="1"/>
  <c r="P25" i="20" a="1"/>
  <c r="P25" i="20" l="1"/>
  <c r="Q88" i="19" s="1"/>
  <c r="Q112" i="19" s="1"/>
  <c r="Q136" i="19" s="1"/>
  <c r="D26" i="20" a="1"/>
  <c r="D26" i="20" l="1"/>
  <c r="E89" i="19" s="1"/>
  <c r="E113" i="19" s="1"/>
  <c r="E137" i="19" s="1"/>
  <c r="R18" i="20" a="1"/>
  <c r="R18" i="20" l="1"/>
  <c r="S81" i="19" s="1"/>
  <c r="S105" i="19" s="1"/>
  <c r="S129" i="19" s="1"/>
  <c r="E18" i="20" a="1"/>
  <c r="E18" i="20" l="1"/>
  <c r="F81" i="19" s="1"/>
  <c r="F105" i="19" s="1"/>
  <c r="F129" i="19" s="1"/>
  <c r="H24" i="20" a="1"/>
  <c r="H24" i="20" l="1"/>
  <c r="I87" i="19" s="1"/>
  <c r="I111" i="19" s="1"/>
  <c r="I135" i="19" s="1"/>
  <c r="D33" i="20" a="1"/>
  <c r="D33" i="20" l="1"/>
  <c r="E96" i="19" s="1"/>
  <c r="E120" i="19" s="1"/>
  <c r="E144" i="19" s="1"/>
  <c r="I30" i="20" a="1"/>
  <c r="I30" i="20" l="1"/>
  <c r="J93" i="19" s="1"/>
  <c r="J117" i="19" s="1"/>
  <c r="J141" i="19" s="1"/>
  <c r="O20" i="20" a="1"/>
  <c r="O20" i="20" l="1"/>
  <c r="P83" i="19" s="1"/>
  <c r="P107" i="19" s="1"/>
  <c r="P131" i="19" s="1"/>
  <c r="I24" i="20" a="1"/>
  <c r="I24" i="20" l="1"/>
  <c r="J87" i="19" s="1"/>
  <c r="J111" i="19" s="1"/>
  <c r="J135" i="19" s="1"/>
  <c r="R19" i="20" a="1"/>
  <c r="R19" i="20" l="1"/>
  <c r="S82" i="19" s="1"/>
  <c r="S106" i="19" s="1"/>
  <c r="S130" i="19" s="1"/>
  <c r="L25" i="20" a="1"/>
  <c r="L25" i="20" l="1"/>
  <c r="M88" i="19" s="1"/>
  <c r="M112" i="19" s="1"/>
  <c r="M136" i="19" s="1"/>
  <c r="D32" i="20" a="1"/>
  <c r="D32" i="20" l="1"/>
  <c r="E95" i="19" s="1"/>
  <c r="E119" i="19" s="1"/>
  <c r="E143" i="19" s="1"/>
  <c r="O29" i="20" a="1"/>
  <c r="O29" i="20" l="1"/>
  <c r="P92" i="19" s="1"/>
  <c r="P116" i="19" s="1"/>
  <c r="P140" i="19" s="1"/>
  <c r="Q33" i="20" a="1"/>
  <c r="Q33" i="20" l="1"/>
  <c r="R96" i="19" s="1"/>
  <c r="R120" i="19" s="1"/>
  <c r="R144" i="19" s="1"/>
  <c r="Q17" i="20" a="1"/>
  <c r="Q17" i="20" l="1"/>
  <c r="R80" i="19" s="1"/>
  <c r="R104" i="19" s="1"/>
  <c r="R128" i="19" s="1"/>
  <c r="K19" i="20" a="1"/>
  <c r="K19" i="20" l="1"/>
  <c r="L82" i="19" s="1"/>
  <c r="L106" i="19" s="1"/>
  <c r="L130" i="19" s="1"/>
  <c r="M23" i="20" a="1"/>
  <c r="M23" i="20" l="1"/>
  <c r="N86" i="19" s="1"/>
  <c r="N110" i="19" s="1"/>
  <c r="N134" i="19" s="1"/>
  <c r="H29" i="20" a="1"/>
  <c r="H29" i="20" l="1"/>
  <c r="I92" i="19" s="1"/>
  <c r="I116" i="19" s="1"/>
  <c r="I140" i="19" s="1"/>
  <c r="F29" i="20" a="1"/>
  <c r="F29" i="20" l="1"/>
  <c r="G92" i="19" s="1"/>
  <c r="G116" i="19" s="1"/>
  <c r="G140" i="19" s="1"/>
  <c r="O26" i="20" a="1"/>
  <c r="O26" i="20" l="1"/>
  <c r="P89" i="19" s="1"/>
  <c r="P113" i="19" s="1"/>
  <c r="P137" i="19" s="1"/>
  <c r="K34" i="20" a="1"/>
  <c r="K34" i="20" l="1"/>
  <c r="L97" i="19" s="1"/>
  <c r="L121" i="19" s="1"/>
  <c r="L145" i="19" s="1"/>
  <c r="E30" i="20" a="1"/>
  <c r="E30" i="20" l="1"/>
  <c r="F93" i="19" s="1"/>
  <c r="F117" i="19" s="1"/>
  <c r="F141" i="19" s="1"/>
  <c r="P33" i="20" a="1"/>
  <c r="P33" i="20" l="1"/>
  <c r="Q96" i="19" s="1"/>
  <c r="Q120" i="19" s="1"/>
  <c r="Q144" i="19" s="1"/>
  <c r="J21" i="20" a="1"/>
  <c r="J21" i="20" l="1"/>
  <c r="K84" i="19" s="1"/>
  <c r="K108" i="19" s="1"/>
  <c r="K132" i="19" s="1"/>
  <c r="P26" i="20" a="1"/>
  <c r="P26" i="20" l="1"/>
  <c r="Q89" i="19" s="1"/>
  <c r="Q113" i="19" s="1"/>
  <c r="Q137" i="19" s="1"/>
  <c r="K25" i="20" a="1"/>
  <c r="K25" i="20" l="1"/>
  <c r="L88" i="19" s="1"/>
  <c r="L112" i="19" s="1"/>
  <c r="L136" i="19" s="1"/>
  <c r="N25" i="20" a="1"/>
  <c r="N25" i="20" l="1"/>
  <c r="O88" i="19" s="1"/>
  <c r="O112" i="19" s="1"/>
  <c r="O136" i="19" s="1"/>
  <c r="L23" i="20" a="1"/>
  <c r="L23" i="20" l="1"/>
  <c r="M86" i="19" s="1"/>
  <c r="M110" i="19" s="1"/>
  <c r="M134" i="19" s="1"/>
  <c r="G19" i="20" a="1"/>
  <c r="G19" i="20" l="1"/>
  <c r="H82" i="19" s="1"/>
  <c r="H106" i="19" s="1"/>
  <c r="H130" i="19" s="1"/>
  <c r="E34" i="20" a="1"/>
  <c r="E34" i="20" l="1"/>
  <c r="F97" i="19" s="1"/>
  <c r="F121" i="19" s="1"/>
  <c r="F145" i="19" s="1"/>
  <c r="E26" i="20" a="1"/>
  <c r="E26" i="20" l="1"/>
  <c r="F89" i="19" s="1"/>
  <c r="F113" i="19" s="1"/>
  <c r="F137" i="19" s="1"/>
  <c r="H30" i="20" a="1"/>
  <c r="H30" i="20" l="1"/>
  <c r="I93" i="19" s="1"/>
  <c r="I117" i="19" s="1"/>
  <c r="I141" i="19" s="1"/>
  <c r="I32" i="20" a="1"/>
  <c r="I32" i="20" l="1"/>
  <c r="J95" i="19" s="1"/>
  <c r="J119" i="19" s="1"/>
  <c r="J143" i="19" s="1"/>
  <c r="L19" i="20" a="1"/>
  <c r="L19" i="20" l="1"/>
  <c r="M82" i="19" s="1"/>
  <c r="M106" i="19" s="1"/>
  <c r="M130" i="19" s="1"/>
  <c r="M32" i="20" a="1"/>
  <c r="M32" i="20" l="1"/>
  <c r="N95" i="19" s="1"/>
  <c r="N119" i="19" s="1"/>
  <c r="N143" i="19" s="1"/>
  <c r="O31" i="20" a="1"/>
  <c r="O31" i="20" l="1"/>
  <c r="P94" i="19" s="1"/>
  <c r="P118" i="19" s="1"/>
  <c r="P142" i="19" s="1"/>
  <c r="F25" i="20" a="1"/>
  <c r="F25" i="20" l="1"/>
  <c r="G88" i="19" s="1"/>
  <c r="G112" i="19" s="1"/>
  <c r="G136" i="19" s="1"/>
  <c r="F21" i="20" a="1"/>
  <c r="F21" i="20" l="1"/>
  <c r="G84" i="19" s="1"/>
  <c r="G108" i="19" s="1"/>
  <c r="G132" i="19" s="1"/>
  <c r="O25" i="20" a="1"/>
  <c r="O25" i="20" l="1"/>
  <c r="P88" i="19" s="1"/>
  <c r="P112" i="19" s="1"/>
  <c r="P136" i="19" s="1"/>
  <c r="D29" i="20" a="1"/>
  <c r="D29" i="20" l="1"/>
  <c r="E92" i="19" s="1"/>
  <c r="E116" i="19" s="1"/>
  <c r="E140" i="19" s="1"/>
  <c r="P19" i="20" a="1"/>
  <c r="P19" i="20" l="1"/>
  <c r="Q82" i="19" s="1"/>
  <c r="Q106" i="19" s="1"/>
  <c r="Q130" i="19" s="1"/>
  <c r="D23" i="20" a="1"/>
  <c r="D23" i="20" l="1"/>
  <c r="E86" i="19" s="1"/>
  <c r="E110" i="19" s="1"/>
  <c r="E134" i="19" s="1"/>
  <c r="J19" i="20" a="1"/>
  <c r="J19" i="20" l="1"/>
  <c r="K82" i="19" s="1"/>
  <c r="K106" i="19" s="1"/>
  <c r="K130" i="19" s="1"/>
  <c r="Q22" i="20" a="1"/>
  <c r="Q22" i="20" l="1"/>
  <c r="R85" i="19" s="1"/>
  <c r="R109" i="19" s="1"/>
  <c r="R133" i="19" s="1"/>
  <c r="E35" i="20" a="1"/>
  <c r="E35" i="20" l="1"/>
  <c r="F98" i="19" s="1"/>
  <c r="F122" i="19" s="1"/>
  <c r="F146" i="19" s="1"/>
  <c r="R16" i="20" a="1"/>
  <c r="R16" i="20" l="1"/>
  <c r="S79" i="19" s="1"/>
  <c r="S103" i="19" s="1"/>
  <c r="S127" i="19" s="1"/>
  <c r="M21" i="20" a="1"/>
  <c r="M21" i="20" l="1"/>
  <c r="N84" i="19" s="1"/>
  <c r="N108" i="19" s="1"/>
  <c r="N132" i="19" s="1"/>
  <c r="L26" i="20" a="1"/>
  <c r="L26" i="20" l="1"/>
  <c r="M89" i="19" s="1"/>
  <c r="M113" i="19" s="1"/>
  <c r="M137" i="19" s="1"/>
  <c r="G17" i="20" a="1"/>
  <c r="G17" i="20" l="1"/>
  <c r="H80" i="19" s="1"/>
  <c r="H104" i="19" s="1"/>
  <c r="H128" i="19" s="1"/>
  <c r="F30" i="20" a="1"/>
  <c r="F30" i="20" l="1"/>
  <c r="G93" i="19" s="1"/>
  <c r="G117" i="19" s="1"/>
  <c r="G141" i="19" s="1"/>
  <c r="I17" i="20" a="1"/>
  <c r="I17" i="20" l="1"/>
  <c r="J80" i="19" s="1"/>
  <c r="J104" i="19" s="1"/>
  <c r="J128" i="19" s="1"/>
  <c r="G16" i="20" a="1"/>
  <c r="G16" i="20" l="1"/>
  <c r="H79" i="19" s="1"/>
  <c r="H103" i="19" s="1"/>
  <c r="H127" i="19" s="1"/>
  <c r="D22" i="20" a="1"/>
  <c r="D22" i="20" l="1"/>
  <c r="E85" i="19" s="1"/>
  <c r="E109" i="19" s="1"/>
  <c r="E133" i="19" s="1"/>
  <c r="D19" i="20" a="1"/>
  <c r="D19" i="20" l="1"/>
  <c r="E82" i="19" s="1"/>
  <c r="E106" i="19" s="1"/>
  <c r="E130" i="19" s="1"/>
  <c r="O27" i="20" a="1"/>
  <c r="O27" i="20" l="1"/>
  <c r="P90" i="19" s="1"/>
  <c r="P114" i="19" s="1"/>
  <c r="P138" i="19" s="1"/>
  <c r="G29" i="20" a="1"/>
  <c r="G29" i="20" l="1"/>
  <c r="H92" i="19" s="1"/>
  <c r="H116" i="19" s="1"/>
  <c r="H140" i="19" s="1"/>
  <c r="D25" i="20" a="1"/>
  <c r="D25" i="20" l="1"/>
  <c r="E88" i="19" s="1"/>
  <c r="E112" i="19" s="1"/>
  <c r="E136" i="19" s="1"/>
  <c r="H22" i="20" a="1"/>
  <c r="H22" i="20" l="1"/>
  <c r="I85" i="19" s="1"/>
  <c r="I109" i="19" s="1"/>
  <c r="I133" i="19" s="1"/>
  <c r="Q16" i="20" a="1"/>
  <c r="Q16" i="20" l="1"/>
  <c r="R79" i="19" s="1"/>
  <c r="R103" i="19" s="1"/>
  <c r="R127" i="19" s="1"/>
  <c r="N19" i="20" a="1"/>
  <c r="N19" i="20" l="1"/>
  <c r="O82" i="19" s="1"/>
  <c r="O106" i="19" s="1"/>
  <c r="O130" i="19" s="1"/>
  <c r="S25" i="20" a="1"/>
  <c r="S25" i="20" l="1"/>
  <c r="T88" i="19" s="1"/>
  <c r="T112" i="19" s="1"/>
  <c r="T136" i="19" s="1"/>
  <c r="N27" i="20" a="1"/>
  <c r="N27" i="20" l="1"/>
  <c r="O90" i="19" s="1"/>
  <c r="O114" i="19" s="1"/>
  <c r="O138" i="19" s="1"/>
  <c r="P35" i="20" a="1"/>
  <c r="P35" i="20" l="1"/>
  <c r="Q98" i="19" s="1"/>
  <c r="Q122" i="19" s="1"/>
  <c r="Q146" i="19" s="1"/>
  <c r="P30" i="20" a="1"/>
  <c r="P30" i="20" l="1"/>
  <c r="Q93" i="19" s="1"/>
  <c r="Q117" i="19" s="1"/>
  <c r="Q141" i="19" s="1"/>
  <c r="K18" i="20" a="1"/>
  <c r="K18" i="20" l="1"/>
  <c r="L81" i="19" s="1"/>
  <c r="L105" i="19" s="1"/>
  <c r="L129" i="19" s="1"/>
  <c r="K23" i="20" a="1"/>
  <c r="K23" i="20" l="1"/>
  <c r="L86" i="19" s="1"/>
  <c r="L110" i="19" s="1"/>
  <c r="L134" i="19" s="1"/>
  <c r="K31" i="20" a="1"/>
  <c r="K31" i="20" l="1"/>
  <c r="L94" i="19" s="1"/>
  <c r="L118" i="19" s="1"/>
  <c r="L142" i="19" s="1"/>
  <c r="M31" i="20" a="1"/>
  <c r="M31" i="20" l="1"/>
  <c r="N94" i="19" s="1"/>
  <c r="N118" i="19" s="1"/>
  <c r="N142" i="19" s="1"/>
  <c r="H17" i="20" a="1"/>
  <c r="H17" i="20" l="1"/>
  <c r="I80" i="19" s="1"/>
  <c r="I104" i="19" s="1"/>
  <c r="I128" i="19" s="1"/>
  <c r="R32" i="20" a="1"/>
  <c r="R32" i="20" l="1"/>
  <c r="S95" i="19" s="1"/>
  <c r="S119" i="19" s="1"/>
  <c r="S143" i="19" s="1"/>
  <c r="Q19" i="20" a="1"/>
  <c r="Q19" i="20" l="1"/>
  <c r="R82" i="19" s="1"/>
  <c r="R106" i="19" s="1"/>
  <c r="R130" i="19" s="1"/>
  <c r="P22" i="20" a="1"/>
  <c r="P22" i="20" l="1"/>
  <c r="Q85" i="19" s="1"/>
  <c r="Q109" i="19" s="1"/>
  <c r="Q133" i="19" s="1"/>
  <c r="E31" i="20" a="1"/>
  <c r="E31" i="20" l="1"/>
  <c r="F94" i="19" s="1"/>
  <c r="F118" i="19" s="1"/>
  <c r="F142" i="19" s="1"/>
  <c r="G21" i="20" a="1"/>
  <c r="G21" i="20" l="1"/>
  <c r="H84" i="19" s="1"/>
  <c r="H108" i="19" s="1"/>
  <c r="H132" i="19" s="1"/>
  <c r="G35" i="20" a="1"/>
  <c r="G35" i="20" l="1"/>
  <c r="H98" i="19" s="1"/>
  <c r="H122" i="19" s="1"/>
  <c r="H146" i="19" s="1"/>
  <c r="J23" i="20" a="1"/>
  <c r="J23" i="20" l="1"/>
  <c r="K86" i="19" s="1"/>
  <c r="K110" i="19" s="1"/>
  <c r="K134" i="19" s="1"/>
  <c r="P34" i="20" a="1"/>
  <c r="P34" i="20" l="1"/>
  <c r="Q97" i="19" s="1"/>
  <c r="Q121" i="19" s="1"/>
  <c r="Q145" i="19" s="1"/>
  <c r="K32" i="20" a="1"/>
  <c r="K32" i="20" l="1"/>
  <c r="L95" i="19" s="1"/>
  <c r="L119" i="19" s="1"/>
  <c r="L143" i="19" s="1"/>
  <c r="D21" i="20" a="1"/>
  <c r="D21" i="20" l="1"/>
  <c r="E84" i="19" s="1"/>
  <c r="E108" i="19" s="1"/>
  <c r="E132" i="19" s="1"/>
  <c r="S35" i="20" a="1"/>
  <c r="S35" i="20" l="1"/>
  <c r="T98" i="19" s="1"/>
  <c r="T122" i="19" s="1"/>
  <c r="T146" i="19" s="1"/>
  <c r="R28" i="20" a="1"/>
  <c r="R28" i="20" l="1"/>
  <c r="S91" i="19" s="1"/>
  <c r="S115" i="19" s="1"/>
  <c r="S139" i="19" s="1"/>
  <c r="G27" i="20" a="1"/>
  <c r="G27" i="20" l="1"/>
  <c r="H90" i="19" s="1"/>
  <c r="H114" i="19" s="1"/>
  <c r="H138" i="19" s="1"/>
  <c r="Q34" i="20" a="1"/>
  <c r="Q34" i="20" l="1"/>
  <c r="R97" i="19" s="1"/>
  <c r="R121" i="19" s="1"/>
  <c r="R145" i="19" s="1"/>
  <c r="D34" i="20" a="1"/>
  <c r="D34" i="20" l="1"/>
  <c r="E97" i="19" s="1"/>
  <c r="E121" i="19" s="1"/>
  <c r="E145" i="19" s="1"/>
  <c r="M25" i="20" a="1"/>
  <c r="M25" i="20" l="1"/>
  <c r="N88" i="19" s="1"/>
  <c r="N112" i="19" s="1"/>
  <c r="N136" i="19" s="1"/>
  <c r="N28" i="20" a="1"/>
  <c r="N28" i="20" l="1"/>
  <c r="O91" i="19" s="1"/>
  <c r="O115" i="19" s="1"/>
  <c r="O139" i="19" s="1"/>
  <c r="N32" i="20" a="1"/>
  <c r="N32" i="20" l="1"/>
  <c r="O95" i="19" s="1"/>
  <c r="O119" i="19" s="1"/>
  <c r="O143" i="19" s="1"/>
  <c r="H32" i="20" a="1"/>
  <c r="H32" i="20" l="1"/>
  <c r="I95" i="19" s="1"/>
  <c r="I119" i="19" s="1"/>
  <c r="I143" i="19" s="1"/>
  <c r="J34" i="20" a="1"/>
  <c r="J34" i="20" l="1"/>
  <c r="K97" i="19" s="1"/>
  <c r="K121" i="19" s="1"/>
  <c r="K145" i="19" s="1"/>
  <c r="J27" i="20" a="1"/>
  <c r="J27" i="20" l="1"/>
  <c r="K90" i="19" s="1"/>
  <c r="K114" i="19" s="1"/>
  <c r="K138" i="19" s="1"/>
  <c r="F16" i="20" a="1"/>
  <c r="F16" i="20" l="1"/>
  <c r="G79" i="19" s="1"/>
  <c r="L31" i="20" a="1"/>
  <c r="G103" i="19" l="1"/>
  <c r="G127" i="19" s="1"/>
  <c r="L31" i="20"/>
  <c r="M94" i="19" s="1"/>
  <c r="M118" i="19" s="1"/>
  <c r="M142" i="19" s="1"/>
  <c r="M24" i="20" a="1"/>
  <c r="M24" i="20" l="1"/>
  <c r="N87" i="19" s="1"/>
  <c r="N111" i="19" s="1"/>
  <c r="N135" i="19" s="1"/>
  <c r="Q25" i="20" a="1"/>
  <c r="Q25" i="20" l="1"/>
  <c r="R88" i="19" s="1"/>
  <c r="R112" i="19" s="1"/>
  <c r="R136" i="19" s="1"/>
  <c r="O33" i="20" a="1"/>
  <c r="O33" i="20" l="1"/>
  <c r="P96" i="19" s="1"/>
  <c r="P120" i="19" s="1"/>
  <c r="P144" i="19" s="1"/>
  <c r="F33" i="20" a="1"/>
  <c r="F33" i="20" l="1"/>
  <c r="G96" i="19" s="1"/>
  <c r="G120" i="19" s="1"/>
  <c r="G144" i="19" s="1"/>
  <c r="H28" i="20" a="1"/>
  <c r="H28" i="20" l="1"/>
  <c r="I91" i="19" s="1"/>
  <c r="I115" i="19" s="1"/>
  <c r="I139" i="19" s="1"/>
  <c r="N34" i="20" a="1"/>
  <c r="N34" i="20" l="1"/>
  <c r="O97" i="19" s="1"/>
  <c r="Q21" i="20" a="1"/>
  <c r="Q21" i="20" l="1"/>
  <c r="R84" i="19" s="1"/>
  <c r="R108" i="19" s="1"/>
  <c r="R132" i="19" s="1"/>
  <c r="O121" i="19"/>
  <c r="O145" i="19" s="1"/>
  <c r="J22" i="20" a="1"/>
  <c r="J22" i="20" l="1"/>
  <c r="K85" i="19" s="1"/>
  <c r="K109" i="19" s="1"/>
  <c r="K133" i="19" s="1"/>
  <c r="F19" i="20" a="1"/>
  <c r="F19" i="20" l="1"/>
  <c r="G82" i="19" s="1"/>
  <c r="G106" i="19" s="1"/>
  <c r="G130" i="19" s="1"/>
  <c r="R17" i="20" a="1"/>
  <c r="R17" i="20" l="1"/>
  <c r="S80" i="19" s="1"/>
  <c r="D11" i="20" a="1"/>
  <c r="D11" i="20" l="1"/>
  <c r="S104" i="19"/>
  <c r="S128" i="19" s="1"/>
  <c r="G33" i="20" a="1"/>
  <c r="G33" i="20" l="1"/>
  <c r="H96" i="19" s="1"/>
  <c r="S19" i="19" l="1"/>
  <c r="E4" i="29"/>
  <c r="H120" i="19"/>
  <c r="H144" i="19" s="1"/>
  <c r="E33" i="1" l="1"/>
  <c r="E35" i="29"/>
  <c r="S20" i="19"/>
  <c r="E34" i="1" s="1"/>
  <c r="O46" i="29"/>
  <c r="S26" i="19"/>
  <c r="S23" i="19" l="1"/>
  <c r="S24" i="19"/>
  <c r="F43" i="1"/>
  <c r="F49" i="1"/>
  <c r="E46" i="1"/>
  <c r="E36" i="29"/>
  <c r="S22" i="19"/>
  <c r="N46" i="29"/>
  <c r="Q46" i="29" s="1"/>
  <c r="P46" i="29"/>
  <c r="E38" i="1"/>
  <c r="E40" i="29"/>
  <c r="G40" i="29" s="1"/>
  <c r="E172" i="36" l="1"/>
  <c r="E175" i="36" s="1"/>
  <c r="G43" i="1"/>
  <c r="F47" i="1"/>
  <c r="G38" i="1"/>
  <c r="O48" i="29"/>
  <c r="N48" i="29" s="1"/>
  <c r="Q48" i="29" s="1"/>
  <c r="E49" i="1"/>
  <c r="G47" i="1"/>
  <c r="F56" i="1"/>
  <c r="E43" i="1"/>
  <c r="E35" i="1"/>
  <c r="E38" i="29"/>
  <c r="E36" i="1"/>
  <c r="E37" i="29"/>
  <c r="G37" i="29" s="1"/>
  <c r="E39" i="29"/>
  <c r="G39" i="29" s="1"/>
  <c r="S46" i="29"/>
  <c r="R46" i="29"/>
  <c r="F172" i="36" l="1"/>
  <c r="G172" i="36" s="1"/>
  <c r="G175" i="36" s="1"/>
  <c r="G180" i="36" s="1"/>
  <c r="G56" i="1"/>
  <c r="E55" i="1"/>
  <c r="H64" i="1"/>
  <c r="E56" i="1"/>
  <c r="G37" i="1"/>
  <c r="P48" i="29"/>
  <c r="S48" i="29" s="1"/>
  <c r="O51" i="29"/>
  <c r="P51" i="29" s="1"/>
  <c r="R51" i="29" s="1"/>
  <c r="E47" i="1"/>
  <c r="G35" i="1"/>
  <c r="H52" i="1"/>
  <c r="H49" i="1"/>
  <c r="H56" i="1"/>
  <c r="H51" i="1"/>
  <c r="H50" i="1"/>
  <c r="H53" i="1"/>
  <c r="H48" i="1"/>
  <c r="H46" i="1"/>
  <c r="H45" i="1"/>
  <c r="H44" i="1"/>
  <c r="H47" i="29"/>
  <c r="H54" i="29"/>
  <c r="H55" i="29"/>
  <c r="H53" i="29"/>
  <c r="H66" i="29"/>
  <c r="H50" i="29"/>
  <c r="H52" i="29"/>
  <c r="V46" i="29"/>
  <c r="E46" i="29" s="1"/>
  <c r="F46" i="29" s="1"/>
  <c r="F175" i="36" l="1"/>
  <c r="F180" i="36" s="1"/>
  <c r="F55" i="1"/>
  <c r="F54" i="1" s="1"/>
  <c r="F66" i="1"/>
  <c r="O58" i="29"/>
  <c r="P58" i="29" s="1"/>
  <c r="R58" i="29" s="1"/>
  <c r="F76" i="1"/>
  <c r="F79" i="1"/>
  <c r="F77" i="1"/>
  <c r="F78" i="1"/>
  <c r="F80" i="1"/>
  <c r="H55" i="1"/>
  <c r="F81" i="1"/>
  <c r="E54" i="1"/>
  <c r="R48" i="29"/>
  <c r="V48" i="29" s="1"/>
  <c r="E48" i="29" s="1"/>
  <c r="F48" i="29" s="1"/>
  <c r="G48" i="29" s="1"/>
  <c r="O57" i="29"/>
  <c r="P57" i="29" s="1"/>
  <c r="N51" i="29"/>
  <c r="Q51" i="29" s="1"/>
  <c r="F82" i="1"/>
  <c r="H47" i="1"/>
  <c r="H43" i="1"/>
  <c r="G46" i="29"/>
  <c r="H46" i="29"/>
  <c r="G55" i="1" l="1"/>
  <c r="G54" i="1" s="1"/>
  <c r="G66" i="1"/>
  <c r="E66" i="1"/>
  <c r="N58" i="29"/>
  <c r="Q58" i="29" s="1"/>
  <c r="H54" i="1"/>
  <c r="E58" i="1"/>
  <c r="E65" i="1" s="1"/>
  <c r="F58" i="1"/>
  <c r="F65" i="1" s="1"/>
  <c r="E45" i="29"/>
  <c r="F45" i="29"/>
  <c r="G45" i="29" s="1"/>
  <c r="H48" i="29"/>
  <c r="H45" i="29" s="1"/>
  <c r="N57" i="29"/>
  <c r="Q57" i="29" s="1"/>
  <c r="S51" i="29"/>
  <c r="V51" i="29" s="1"/>
  <c r="E51" i="29" s="1"/>
  <c r="F51" i="29" s="1"/>
  <c r="G51" i="29" s="1"/>
  <c r="G49" i="29" s="1"/>
  <c r="R57" i="29"/>
  <c r="G58" i="1" l="1"/>
  <c r="G65" i="1" s="1"/>
  <c r="G24" i="1"/>
  <c r="E24" i="1" s="1"/>
  <c r="H66" i="1"/>
  <c r="O68" i="29"/>
  <c r="F83" i="1"/>
  <c r="S58" i="29"/>
  <c r="V58" i="29" s="1"/>
  <c r="E58" i="29" s="1"/>
  <c r="F58" i="29" s="1"/>
  <c r="H58" i="29" s="1"/>
  <c r="H57" i="29" s="1"/>
  <c r="H56" i="29" s="1"/>
  <c r="H65" i="1"/>
  <c r="H58" i="1"/>
  <c r="I52" i="1" s="1"/>
  <c r="O67" i="29"/>
  <c r="N67" i="29" s="1"/>
  <c r="Q67" i="29" s="1"/>
  <c r="F63" i="1"/>
  <c r="F72" i="1"/>
  <c r="E63" i="1"/>
  <c r="S57" i="29"/>
  <c r="V57" i="29" s="1"/>
  <c r="E57" i="29" s="1"/>
  <c r="F57" i="29" s="1"/>
  <c r="G57" i="29" s="1"/>
  <c r="H51" i="29"/>
  <c r="H49" i="29" s="1"/>
  <c r="E49" i="29"/>
  <c r="F49" i="29" s="1"/>
  <c r="F85" i="1" l="1"/>
  <c r="E27" i="29"/>
  <c r="E72" i="1"/>
  <c r="P68" i="29"/>
  <c r="N68" i="29"/>
  <c r="Q68" i="29" s="1"/>
  <c r="H63" i="1"/>
  <c r="H72" i="1"/>
  <c r="I48" i="1"/>
  <c r="P67" i="29"/>
  <c r="R67" i="29" s="1"/>
  <c r="I53" i="1"/>
  <c r="H60" i="29"/>
  <c r="I50" i="29" s="1"/>
  <c r="G58" i="29"/>
  <c r="I49" i="1"/>
  <c r="I56" i="1"/>
  <c r="I46" i="1"/>
  <c r="I45" i="1"/>
  <c r="I44" i="1"/>
  <c r="G72" i="1"/>
  <c r="F68" i="1"/>
  <c r="I50" i="1"/>
  <c r="I51" i="1"/>
  <c r="E68" i="1"/>
  <c r="G63" i="1"/>
  <c r="E56" i="29"/>
  <c r="F56" i="29" s="1"/>
  <c r="R68" i="29" l="1"/>
  <c r="S68" i="29"/>
  <c r="I58" i="29"/>
  <c r="I57" i="29" s="1"/>
  <c r="I56" i="29" s="1"/>
  <c r="I46" i="29"/>
  <c r="S67" i="29"/>
  <c r="V67" i="29" s="1"/>
  <c r="E67" i="29" s="1"/>
  <c r="F67" i="29" s="1"/>
  <c r="G67" i="29" s="1"/>
  <c r="I52" i="29"/>
  <c r="I47" i="29"/>
  <c r="I55" i="29"/>
  <c r="I51" i="29"/>
  <c r="I53" i="29"/>
  <c r="I54" i="29"/>
  <c r="I48" i="29"/>
  <c r="I55" i="1"/>
  <c r="I47" i="1"/>
  <c r="I43" i="1"/>
  <c r="G68" i="1"/>
  <c r="H68" i="1"/>
  <c r="F84" i="1"/>
  <c r="E60" i="29"/>
  <c r="G56" i="29"/>
  <c r="G60" i="29" s="1"/>
  <c r="F60" i="29"/>
  <c r="V68" i="29" l="1"/>
  <c r="E68" i="29" s="1"/>
  <c r="F68" i="29" s="1"/>
  <c r="G68" i="29" s="1"/>
  <c r="G74" i="29" s="1"/>
  <c r="H67" i="29"/>
  <c r="H65" i="29" s="1"/>
  <c r="F65" i="29"/>
  <c r="G65" i="29" s="1"/>
  <c r="I45" i="29"/>
  <c r="I49" i="29"/>
  <c r="E65" i="29"/>
  <c r="I54" i="1"/>
  <c r="F87" i="1"/>
  <c r="E84" i="1" s="1"/>
  <c r="I66" i="1"/>
  <c r="H70" i="1"/>
  <c r="I64" i="1"/>
  <c r="I65" i="1"/>
  <c r="E74" i="29" l="1"/>
  <c r="E70" i="29"/>
  <c r="F74" i="29"/>
  <c r="H68" i="29"/>
  <c r="H70" i="29" s="1"/>
  <c r="G70" i="29"/>
  <c r="F70" i="29"/>
  <c r="I60" i="29"/>
  <c r="I58" i="1"/>
  <c r="I63" i="1"/>
  <c r="J46" i="1"/>
  <c r="J50" i="1"/>
  <c r="J56" i="1"/>
  <c r="J65" i="1"/>
  <c r="J52" i="1"/>
  <c r="J44" i="1"/>
  <c r="J51" i="1"/>
  <c r="J49" i="1"/>
  <c r="J53" i="1"/>
  <c r="J45" i="1"/>
  <c r="J55" i="1"/>
  <c r="J66" i="1"/>
  <c r="J48" i="1"/>
  <c r="J64" i="1"/>
  <c r="I72" i="1"/>
  <c r="E82" i="1"/>
  <c r="E78" i="1"/>
  <c r="E76" i="1"/>
  <c r="E81" i="1"/>
  <c r="E77" i="1"/>
  <c r="E83" i="1"/>
  <c r="E79" i="1"/>
  <c r="E85" i="1"/>
  <c r="E80" i="1"/>
  <c r="H74" i="29" l="1"/>
  <c r="I67" i="29"/>
  <c r="I68" i="29"/>
  <c r="I66" i="29"/>
  <c r="H72" i="29"/>
  <c r="J54" i="29" s="1"/>
  <c r="J79" i="1"/>
  <c r="J78" i="1"/>
  <c r="J63" i="1"/>
  <c r="J47" i="1"/>
  <c r="J54" i="1"/>
  <c r="J81" i="1"/>
  <c r="J82" i="1"/>
  <c r="J43" i="1"/>
  <c r="J80" i="1"/>
  <c r="J83" i="1"/>
  <c r="J77" i="1"/>
  <c r="I68" i="1"/>
  <c r="E87" i="1"/>
  <c r="J76" i="1"/>
  <c r="J53" i="29" l="1"/>
  <c r="J48" i="29"/>
  <c r="J58" i="29"/>
  <c r="J55" i="29"/>
  <c r="J50" i="29"/>
  <c r="J51" i="29"/>
  <c r="J68" i="29"/>
  <c r="J47" i="29"/>
  <c r="J52" i="29"/>
  <c r="J46" i="29"/>
  <c r="J57" i="29"/>
  <c r="I65" i="29"/>
  <c r="I70" i="29" s="1"/>
  <c r="I74" i="29"/>
  <c r="J67" i="29"/>
  <c r="J66" i="29"/>
  <c r="J87" i="1"/>
  <c r="J72" i="1"/>
  <c r="J58" i="1"/>
  <c r="J68" i="1"/>
  <c r="J56" i="29" l="1"/>
  <c r="J49" i="29"/>
  <c r="J45" i="29"/>
  <c r="J74" i="29" s="1"/>
  <c r="J65" i="29"/>
  <c r="J70" i="29" s="1"/>
  <c r="J60" i="29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<sst xmlns="http://schemas.openxmlformats.org/spreadsheetml/2006/main" count="788" uniqueCount="322">
  <si>
    <t>Inputs</t>
  </si>
  <si>
    <t>Outputs</t>
  </si>
  <si>
    <t># Units</t>
  </si>
  <si>
    <t>Cost</t>
  </si>
  <si>
    <t>m</t>
  </si>
  <si>
    <t>m^3</t>
  </si>
  <si>
    <t>Cylinder Diameter</t>
  </si>
  <si>
    <t>Cylinder Height</t>
  </si>
  <si>
    <t>kg/m^3</t>
  </si>
  <si>
    <t>mT</t>
  </si>
  <si>
    <t>Steel Weight</t>
  </si>
  <si>
    <t>Multiplier</t>
  </si>
  <si>
    <t>Reaction Mass</t>
  </si>
  <si>
    <t>Rho</t>
  </si>
  <si>
    <t>Water Depth</t>
  </si>
  <si>
    <t>t</t>
  </si>
  <si>
    <t>Rated Power</t>
  </si>
  <si>
    <t>kW</t>
  </si>
  <si>
    <t>Performance</t>
  </si>
  <si>
    <t>WEC Device</t>
  </si>
  <si>
    <t>WEC Farm</t>
  </si>
  <si>
    <t># of WECs</t>
  </si>
  <si>
    <t>Distance to Shore</t>
  </si>
  <si>
    <t>Absorber Buoy Diameter</t>
  </si>
  <si>
    <t>Reaction Tube Length</t>
  </si>
  <si>
    <t>Wave Resource</t>
  </si>
  <si>
    <t>Power Export</t>
  </si>
  <si>
    <t>Economics</t>
  </si>
  <si>
    <t>Fixed Charge Rate</t>
  </si>
  <si>
    <t>CAPEX</t>
  </si>
  <si>
    <t>Marine Energy Converter (MEC)</t>
  </si>
  <si>
    <t>1.1.1</t>
  </si>
  <si>
    <t>Structural Assembly</t>
  </si>
  <si>
    <t>1.1.2</t>
  </si>
  <si>
    <t>Power Take-Off System (PTO)</t>
  </si>
  <si>
    <t>1.1.3</t>
  </si>
  <si>
    <t xml:space="preserve">Mooring, Foundation, and Sub-Structure </t>
  </si>
  <si>
    <t>Balance of System (BOS)</t>
  </si>
  <si>
    <t>1.2.1</t>
  </si>
  <si>
    <t>1.2.2</t>
  </si>
  <si>
    <t>Engineering and Management</t>
  </si>
  <si>
    <t>1.2.3</t>
  </si>
  <si>
    <t>Electrical Infrastructure</t>
  </si>
  <si>
    <t>1.2.6</t>
  </si>
  <si>
    <t>Assembly &amp; Installation</t>
  </si>
  <si>
    <t xml:space="preserve">Financial Costs </t>
  </si>
  <si>
    <t>1.3.2</t>
  </si>
  <si>
    <t>Insurance During Construction</t>
  </si>
  <si>
    <t>1.3.3</t>
  </si>
  <si>
    <t>$/kW</t>
  </si>
  <si>
    <t>Construction Financing Costs</t>
  </si>
  <si>
    <t>Project Development</t>
  </si>
  <si>
    <t>$/Farm</t>
  </si>
  <si>
    <t>$/WEC</t>
  </si>
  <si>
    <t>$/MWh</t>
  </si>
  <si>
    <t>in %</t>
  </si>
  <si>
    <t>Uncertainty</t>
  </si>
  <si>
    <t xml:space="preserve"> +%</t>
  </si>
  <si>
    <t xml:space="preserve"> -%</t>
  </si>
  <si>
    <t>Total CAPEX</t>
  </si>
  <si>
    <t>OPEX</t>
  </si>
  <si>
    <t>2.1.1</t>
  </si>
  <si>
    <t>2.1.3</t>
  </si>
  <si>
    <t>Insurance</t>
  </si>
  <si>
    <t>Maintenance</t>
  </si>
  <si>
    <t>Total OPEX</t>
  </si>
  <si>
    <t>I/O - Screen</t>
  </si>
  <si>
    <t>Environmental Monitoring</t>
  </si>
  <si>
    <t>Absorber Buoy Height</t>
  </si>
  <si>
    <t>MWh</t>
  </si>
  <si>
    <t>Capacity Factor</t>
  </si>
  <si>
    <t>Reaction Tube Diameter</t>
  </si>
  <si>
    <t>Reaction Tube Volume</t>
  </si>
  <si>
    <t>One Body</t>
  </si>
  <si>
    <t>Two Body</t>
  </si>
  <si>
    <t>Topology</t>
  </si>
  <si>
    <t>Lookup 1</t>
  </si>
  <si>
    <t>Lookup 2</t>
  </si>
  <si>
    <t>Oregon</t>
  </si>
  <si>
    <t>California</t>
  </si>
  <si>
    <t>Cape Cod</t>
  </si>
  <si>
    <t>Lookup 3</t>
  </si>
  <si>
    <t xml:space="preserve"> /kW</t>
  </si>
  <si>
    <t>Subsea Cables</t>
  </si>
  <si>
    <t>Device Installation</t>
  </si>
  <si>
    <t>Construction Financing Rate</t>
  </si>
  <si>
    <t>Technical Input Parameters</t>
  </si>
  <si>
    <t>Resource and Performance Outputs</t>
  </si>
  <si>
    <t>Site &amp; Device Selection</t>
  </si>
  <si>
    <t>Device Specifications</t>
  </si>
  <si>
    <t>Site Selection</t>
  </si>
  <si>
    <t>Buoy Diameter</t>
  </si>
  <si>
    <t>Device Selection</t>
  </si>
  <si>
    <t>Buoy Height</t>
  </si>
  <si>
    <t>Displaced Volume</t>
  </si>
  <si>
    <t>CD Absorber</t>
  </si>
  <si>
    <t>CD Reaction</t>
  </si>
  <si>
    <t>Power Conversion System Parameters</t>
  </si>
  <si>
    <t>Site Resource Parameters</t>
  </si>
  <si>
    <t>PTO Efficiency</t>
  </si>
  <si>
    <t>Average Hs</t>
  </si>
  <si>
    <t>Average Te</t>
  </si>
  <si>
    <t>sec</t>
  </si>
  <si>
    <t>Average Power Flux</t>
  </si>
  <si>
    <t xml:space="preserve">kW/m </t>
  </si>
  <si>
    <t>Array Parameters</t>
  </si>
  <si>
    <t>Array/Turbine Availability</t>
  </si>
  <si>
    <t>Transmission Efficiency</t>
  </si>
  <si>
    <t>Average Extracted Power</t>
  </si>
  <si>
    <t>Average Electric Power</t>
  </si>
  <si>
    <t>Rated Electric Power</t>
  </si>
  <si>
    <t xml:space="preserve">Machine Capacity Factor </t>
  </si>
  <si>
    <t>Annual Output</t>
  </si>
  <si>
    <t>MWh/year</t>
  </si>
  <si>
    <t># of US homes equivalent</t>
  </si>
  <si>
    <t>P/V</t>
  </si>
  <si>
    <t>Wave Resource Frequency Distribution (unnormalized)</t>
  </si>
  <si>
    <t>Te</t>
  </si>
  <si>
    <t>Hs</t>
  </si>
  <si>
    <t>Wave Resource Power Flux</t>
  </si>
  <si>
    <t>Unconstrained Device Performance</t>
  </si>
  <si>
    <t>Constrained Device Performance</t>
  </si>
  <si>
    <t>Select</t>
  </si>
  <si>
    <t>Start Row</t>
  </si>
  <si>
    <t>Absorber Volume</t>
  </si>
  <si>
    <t>mt</t>
  </si>
  <si>
    <t>CD Absorber Buoy</t>
  </si>
  <si>
    <t>CD Reaction Mass</t>
  </si>
  <si>
    <t>Device Specifications - Example</t>
  </si>
  <si>
    <t>Scatter Diagram to be used</t>
  </si>
  <si>
    <t>Site Data Humboldt Deep Water</t>
  </si>
  <si>
    <t>Site Data - PacWave</t>
  </si>
  <si>
    <t>kW/m^3</t>
  </si>
  <si>
    <t>Per Unit</t>
  </si>
  <si>
    <t>Farm</t>
  </si>
  <si>
    <t>Availability</t>
  </si>
  <si>
    <t>MC</t>
  </si>
  <si>
    <t>Insurance Rate (annual percent of Capex)</t>
  </si>
  <si>
    <t>Notes:</t>
  </si>
  <si>
    <t>O&amp;M as percentage of CAPEX</t>
  </si>
  <si>
    <t>Mooring Installation</t>
  </si>
  <si>
    <t>Grid Connected</t>
  </si>
  <si>
    <t>Blue Economy</t>
  </si>
  <si>
    <t>LCoE</t>
  </si>
  <si>
    <t>Compute Upper Theoretical Limits based on Point Absorber and Volumetric Limit States</t>
  </si>
  <si>
    <t># Bodies</t>
  </si>
  <si>
    <t>in % Total</t>
  </si>
  <si>
    <t>Compute Upper Theretical Limit</t>
  </si>
  <si>
    <t>Use Theoretical Limit for Power Capture</t>
  </si>
  <si>
    <t>Extended Point Absorber and Theoretical Limits according to: M.Previsic, A Comparative Study of Model Predictive Control and Optimal Causal Control for Heaving,  Point Absorbers, Journal of Marine Science and Engineering, 2021</t>
  </si>
  <si>
    <t>H = 0.64 x Hs</t>
  </si>
  <si>
    <t>Hequiv</t>
  </si>
  <si>
    <t>Tequiv</t>
  </si>
  <si>
    <t>Compute Point Absorber Limit</t>
  </si>
  <si>
    <t>Compute Volumetric Absorber Limit</t>
  </si>
  <si>
    <t>Device Volume</t>
  </si>
  <si>
    <t>Pick Lower of the Two</t>
  </si>
  <si>
    <t>Impose Rated Capacity</t>
  </si>
  <si>
    <t>Rated Absorbed Power</t>
  </si>
  <si>
    <t>Apply PTO Losses</t>
  </si>
  <si>
    <t>Energy Extraction - Computed Device Performance</t>
  </si>
  <si>
    <t>Energy Extraction - Theoretical Limit Device Performance</t>
  </si>
  <si>
    <t>Annual Electrical Energy Output</t>
  </si>
  <si>
    <t>Average Mechanical Power</t>
  </si>
  <si>
    <t>Equivalent # US Households</t>
  </si>
  <si>
    <t>1.2.6.1</t>
  </si>
  <si>
    <t>1.2.6.2</t>
  </si>
  <si>
    <t>Device</t>
  </si>
  <si>
    <t>Operations</t>
  </si>
  <si>
    <t>Technology LCoE</t>
  </si>
  <si>
    <t>Tables for Plots</t>
  </si>
  <si>
    <t>Construction Financing and Insurance</t>
  </si>
  <si>
    <t>%</t>
  </si>
  <si>
    <t xml:space="preserve"> /MWh</t>
  </si>
  <si>
    <t>Annual Maintennce &amp; Repair</t>
  </si>
  <si>
    <t>CF Target</t>
  </si>
  <si>
    <t># Iterations</t>
  </si>
  <si>
    <t>Plant Scale Target</t>
  </si>
  <si>
    <t>MW</t>
  </si>
  <si>
    <t>Assumes Te/Tp = 1.2</t>
  </si>
  <si>
    <t>LCOE Table</t>
  </si>
  <si>
    <t>Created by</t>
  </si>
  <si>
    <t>Mirko Previsic</t>
  </si>
  <si>
    <t>Company</t>
  </si>
  <si>
    <t>RE Vision Consulting, LLC</t>
  </si>
  <si>
    <t>Contact</t>
  </si>
  <si>
    <t>mirko@re-vision.net</t>
  </si>
  <si>
    <t>Date</t>
  </si>
  <si>
    <t>Disclaimer</t>
  </si>
  <si>
    <t>LCoE Model for Umich</t>
  </si>
  <si>
    <t>Min</t>
  </si>
  <si>
    <t>$/Farm from IO Screen</t>
  </si>
  <si>
    <t>Max</t>
  </si>
  <si>
    <t>Lower Range</t>
  </si>
  <si>
    <t>Higher Range</t>
  </si>
  <si>
    <t>Total Range</t>
  </si>
  <si>
    <t>Cumm. Probability</t>
  </si>
  <si>
    <t>Value</t>
  </si>
  <si>
    <t>90% Percentile</t>
  </si>
  <si>
    <t>Iteration</t>
  </si>
  <si>
    <t>50% Percentile</t>
  </si>
  <si>
    <t>10% Percentile</t>
  </si>
  <si>
    <t>Average</t>
  </si>
  <si>
    <t>100% Percentile</t>
  </si>
  <si>
    <t>1% Percentile</t>
  </si>
  <si>
    <t>Probability</t>
  </si>
  <si>
    <t>LCoE ($/MWh)</t>
  </si>
  <si>
    <t>Normalized LCOE</t>
  </si>
  <si>
    <t>Make all Inputs from the IO Screen</t>
  </si>
  <si>
    <t>All input cells are marked Yellow</t>
  </si>
  <si>
    <t>Costing Functions in Generalized Form</t>
  </si>
  <si>
    <t>1.1.1 Structural</t>
  </si>
  <si>
    <t>Relative Steel Intensity (kg/m^3) = 0.002 * Design Pressure (Pa) + 138.77</t>
  </si>
  <si>
    <t>Steel Mfg Cost ($2020) =1.19*( -388.1ln(# Units) + 4206.7)</t>
  </si>
  <si>
    <t>Max # of Units = &lt; 100</t>
  </si>
  <si>
    <t>Pa</t>
  </si>
  <si>
    <t># Units Limited</t>
  </si>
  <si>
    <t>Relative Steel Intensity</t>
  </si>
  <si>
    <t>Steel Mfg Cost</t>
  </si>
  <si>
    <t>/t</t>
  </si>
  <si>
    <t>Structural Cost</t>
  </si>
  <si>
    <t>/device</t>
  </si>
  <si>
    <t>Structural Weight</t>
  </si>
  <si>
    <t>1.1.2 PTO</t>
  </si>
  <si>
    <t>Double Acting</t>
  </si>
  <si>
    <t>Single Unit: $/kW = 2344</t>
  </si>
  <si>
    <t>100-Units: $/kW = $1761</t>
  </si>
  <si>
    <t>Progress Ratio 0.94</t>
  </si>
  <si>
    <t>Inflation Adjustment: 1.08</t>
  </si>
  <si>
    <t>1.1.3 Mooring System</t>
  </si>
  <si>
    <t>SEPLA Steel Weight = Max. Tension (mT) / 25</t>
  </si>
  <si>
    <t>SEPLA Anchor Cost ($2020) = SEPLA Steel Weight * 5000</t>
  </si>
  <si>
    <t>Tether Cost = 8.02 * Water Depth * Max Tension (mT)</t>
  </si>
  <si>
    <t>Tether Mass = 0.09 * Max Tension (mT)</t>
  </si>
  <si>
    <t>Tether Relative Cost = 6000 * Mass (mT)</t>
  </si>
  <si>
    <t>Design Load</t>
  </si>
  <si>
    <t>SEPLA Steel Weight</t>
  </si>
  <si>
    <t>SEPLA Anchor Cost</t>
  </si>
  <si>
    <t>Tether Cost</t>
  </si>
  <si>
    <t>Tether Mass</t>
  </si>
  <si>
    <t>Total Mooring Cost</t>
  </si>
  <si>
    <t>Total Mooring Mass</t>
  </si>
  <si>
    <t>1.2.1 Project Development</t>
  </si>
  <si>
    <t>$/WEC = 5E+06 * #WECs ^ -0.8805</t>
  </si>
  <si>
    <t>#Units</t>
  </si>
  <si>
    <t>1.2.3  Electrical and Infrastructure</t>
  </si>
  <si>
    <t>Cost = 89574 * #WECs + 271351</t>
  </si>
  <si>
    <t>#WECs</t>
  </si>
  <si>
    <t>Total Electrical Infrastructure</t>
  </si>
  <si>
    <t>1.2.6  Assembly and Installation</t>
  </si>
  <si>
    <t>Transport to Staging Site = 29750 * #WECs</t>
  </si>
  <si>
    <t>Cable Shore Landing = 284660 * #WECs ^-0.865 (Directional Drilling for 500m)</t>
  </si>
  <si>
    <t>Subsea Cable Install = 57337 * #WECs + 2E+6</t>
  </si>
  <si>
    <t>Device Install + Commissioning = 73453 * #WECs + 181750</t>
  </si>
  <si>
    <t># WECs</t>
  </si>
  <si>
    <t>WEC Rated Power</t>
  </si>
  <si>
    <t>WEC Farm Rated Capacity</t>
  </si>
  <si>
    <t xml:space="preserve">Transport </t>
  </si>
  <si>
    <t>Drectional Drilling</t>
  </si>
  <si>
    <t>Subsea Cable Install</t>
  </si>
  <si>
    <t>Device Install and Commission</t>
  </si>
  <si>
    <t>Device Install Total</t>
  </si>
  <si>
    <t>Cable Install Total</t>
  </si>
  <si>
    <t>2.1.1 OPEX Insurance</t>
  </si>
  <si>
    <t xml:space="preserve">% of CAPEX in input screen. </t>
  </si>
  <si>
    <t>2.2.2 Opex Environmental Monitoring and Regulatory Compliance</t>
  </si>
  <si>
    <t>Project Cost per year = 682566 * #WECs ^ 0.2497</t>
  </si>
  <si>
    <t>2.3 OPEX Marine Ops</t>
  </si>
  <si>
    <t xml:space="preserve">Implemented in Input Screen as % of CAPEX. </t>
  </si>
  <si>
    <t>Site Data - WETS</t>
  </si>
  <si>
    <t>Site Data - BiMEP</t>
  </si>
  <si>
    <t>Site Data - EMEC</t>
  </si>
  <si>
    <t>Humbolt Bay - California</t>
  </si>
  <si>
    <t>Bimep - Spain</t>
  </si>
  <si>
    <t>EMEC - Scottland</t>
  </si>
  <si>
    <t>Performance Multiplier</t>
  </si>
  <si>
    <t>Mooring Tension</t>
  </si>
  <si>
    <t>Per Anchor Capacity</t>
  </si>
  <si>
    <t># Anchors per WEC</t>
  </si>
  <si>
    <t>PTO Topology</t>
  </si>
  <si>
    <t>Mean Design Hydro Pressure</t>
  </si>
  <si>
    <t>Mooring Installation = 78984  + 3E+06 * (#WECs*#AnchorsPerWEC)</t>
  </si>
  <si>
    <t>MTBF</t>
  </si>
  <si>
    <t>Rate</t>
  </si>
  <si>
    <t>$/kW-yr</t>
  </si>
  <si>
    <t>$/device-yr</t>
  </si>
  <si>
    <t>PTO</t>
  </si>
  <si>
    <t>Structural</t>
  </si>
  <si>
    <t>Mooring</t>
  </si>
  <si>
    <t>Subsea Cabling</t>
  </si>
  <si>
    <t>Total Hard Costs</t>
  </si>
  <si>
    <t>Marine Ops (Machine-related ops only)</t>
  </si>
  <si>
    <t>Single Absorber Platform</t>
  </si>
  <si>
    <t>Total</t>
  </si>
  <si>
    <t>Actual O&amp;M</t>
  </si>
  <si>
    <t>$/kW = Opening Cost * #Units ^ -0.121</t>
  </si>
  <si>
    <t>Reference Cost at 100-Unit Scale</t>
  </si>
  <si>
    <t>Resonance Tuning</t>
  </si>
  <si>
    <t>Low-Speed</t>
  </si>
  <si>
    <t>High-Speed</t>
  </si>
  <si>
    <t>Grid Integration</t>
  </si>
  <si>
    <t>Single Unit Cost</t>
  </si>
  <si>
    <t>Waveswing</t>
  </si>
  <si>
    <t>Active Point Aborber</t>
  </si>
  <si>
    <t>Passive Point Absorber</t>
  </si>
  <si>
    <t>Direct-Drive Analogue</t>
  </si>
  <si>
    <t>MW Class Wind Turbine</t>
  </si>
  <si>
    <t>Select PTO Type</t>
  </si>
  <si>
    <t>Select Single Unit Cost</t>
  </si>
  <si>
    <t>Apply Scaling Function</t>
  </si>
  <si>
    <t>Riser Cable Cost</t>
  </si>
  <si>
    <t>Winch Multiplier</t>
  </si>
  <si>
    <t>Total PTO Cost</t>
  </si>
  <si>
    <t>Multiplier on PTO sans riser cable</t>
  </si>
  <si>
    <t>$/WEC-yr</t>
  </si>
  <si>
    <t>$/Farm-yr</t>
  </si>
  <si>
    <t>(1-15)</t>
  </si>
  <si>
    <t>Active Volume Multiplier</t>
  </si>
  <si>
    <t>Active Swept Volume</t>
  </si>
  <si>
    <t>% of Theoretical Multiplier</t>
  </si>
  <si>
    <t xml:space="preserve">Unconstrained Device Performance with losses </t>
  </si>
  <si>
    <t>Compute Upper Theretical Limit  (1 upper limit / 2 Linear Damping)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</si>
</sst>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"/>
    <numFmt numFmtId="165" formatCode="0.0"/>
    <numFmt numFmtId="166" formatCode="_(&quot;$&quot;* #,##0_);_(&quot;$&quot;* \(#,##0\);_(&quot;$&quot;* &quot;-&quot;??_);_(@_)"/>
    <numFmt numFmtId="167" formatCode="0.00000%"/>
    <numFmt numFmtId="168" formatCode="0.0%"/>
    <numFmt numFmtId="169" formatCode="&quot;$&quot;#,##0"/>
    <numFmt numFmtId="170" formatCode="_(&quot;$&quot;* #,##0.000_);_(&quot;$&quot;* \(#,##0.000\);_(&quot;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u/>
      <sz val="11"/>
      <name val="Arial"/>
      <family val="2"/>
    </font>
    <font>
      <sz val="10"/>
      <color indexed="10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2F2F2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15" fillId="6" borderId="35" applyNumberFormat="0" applyAlignment="0" applyProtection="0"/>
    <xf numFmtId="0" fontId="16" fillId="0" borderId="0" applyNumberFormat="0" applyFill="0" applyBorder="0" applyAlignment="0" applyProtection="0"/>
  </cellStyleXfs>
  <cellXfs count="194">
    <xf numFmtId="0" fontId="0" fillId="0" borderId="0" xfId="0"/>
    <xf numFmtId="165" fontId="0" fillId="3" borderId="0" xfId="0" applyNumberFormat="1" applyFill="1"/>
    <xf numFmtId="0" fontId="0" fillId="0" borderId="1" xfId="0" applyBorder="1"/>
    <xf numFmtId="1" fontId="0" fillId="0" borderId="1" xfId="0" applyNumberFormat="1" applyBorder="1"/>
    <xf numFmtId="2" fontId="0" fillId="0" borderId="0" xfId="0" applyNumberFormat="1"/>
    <xf numFmtId="165" fontId="0" fillId="0" borderId="0" xfId="0" applyNumberFormat="1"/>
    <xf numFmtId="1" fontId="0" fillId="0" borderId="0" xfId="0" applyNumberFormat="1"/>
    <xf numFmtId="0" fontId="2" fillId="0" borderId="0" xfId="0" applyFont="1"/>
    <xf numFmtId="166" fontId="0" fillId="0" borderId="1" xfId="1" applyNumberFormat="1" applyFont="1" applyBorder="1"/>
    <xf numFmtId="166" fontId="0" fillId="0" borderId="0" xfId="0" applyNumberFormat="1"/>
    <xf numFmtId="166" fontId="0" fillId="0" borderId="0" xfId="1" applyNumberFormat="1" applyFont="1"/>
    <xf numFmtId="0" fontId="0" fillId="4" borderId="0" xfId="0" applyFill="1"/>
    <xf numFmtId="9" fontId="0" fillId="4" borderId="0" xfId="0" applyNumberFormat="1" applyFill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6" xfId="0" applyBorder="1" applyAlignment="1">
      <alignment horizontal="right"/>
    </xf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8" xfId="0" applyBorder="1"/>
    <xf numFmtId="0" fontId="2" fillId="0" borderId="6" xfId="0" applyFont="1" applyBorder="1" applyAlignment="1">
      <alignment horizontal="right"/>
    </xf>
    <xf numFmtId="0" fontId="2" fillId="0" borderId="2" xfId="0" applyFont="1" applyBorder="1"/>
    <xf numFmtId="0" fontId="2" fillId="0" borderId="1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13" xfId="0" applyFont="1" applyBorder="1" applyAlignment="1">
      <alignment horizontal="left"/>
    </xf>
    <xf numFmtId="0" fontId="2" fillId="0" borderId="13" xfId="0" applyFont="1" applyBorder="1"/>
    <xf numFmtId="0" fontId="0" fillId="0" borderId="13" xfId="0" applyBorder="1"/>
    <xf numFmtId="166" fontId="0" fillId="0" borderId="6" xfId="0" applyNumberFormat="1" applyBorder="1"/>
    <xf numFmtId="166" fontId="0" fillId="0" borderId="7" xfId="0" applyNumberFormat="1" applyBorder="1"/>
    <xf numFmtId="0" fontId="0" fillId="3" borderId="0" xfId="0" applyFill="1"/>
    <xf numFmtId="1" fontId="0" fillId="3" borderId="0" xfId="0" applyNumberFormat="1" applyFill="1"/>
    <xf numFmtId="0" fontId="2" fillId="0" borderId="15" xfId="0" applyFont="1" applyBorder="1"/>
    <xf numFmtId="9" fontId="0" fillId="0" borderId="0" xfId="3" applyFont="1"/>
    <xf numFmtId="44" fontId="0" fillId="0" borderId="0" xfId="0" applyNumberFormat="1"/>
    <xf numFmtId="166" fontId="2" fillId="0" borderId="13" xfId="0" applyNumberFormat="1" applyFont="1" applyBorder="1"/>
    <xf numFmtId="166" fontId="0" fillId="0" borderId="6" xfId="1" applyNumberFormat="1" applyFont="1" applyBorder="1"/>
    <xf numFmtId="166" fontId="0" fillId="0" borderId="1" xfId="0" applyNumberFormat="1" applyBorder="1"/>
    <xf numFmtId="166" fontId="0" fillId="0" borderId="8" xfId="0" applyNumberFormat="1" applyBorder="1"/>
    <xf numFmtId="0" fontId="6" fillId="5" borderId="16" xfId="5" applyFont="1" applyFill="1" applyBorder="1"/>
    <xf numFmtId="0" fontId="5" fillId="5" borderId="16" xfId="5" applyFill="1" applyBorder="1"/>
    <xf numFmtId="0" fontId="5" fillId="0" borderId="0" xfId="5"/>
    <xf numFmtId="0" fontId="5" fillId="0" borderId="0" xfId="5" applyAlignment="1">
      <alignment wrapText="1"/>
    </xf>
    <xf numFmtId="0" fontId="7" fillId="0" borderId="0" xfId="5" applyFont="1"/>
    <xf numFmtId="0" fontId="7" fillId="0" borderId="1" xfId="5" applyFont="1" applyBorder="1"/>
    <xf numFmtId="0" fontId="5" fillId="0" borderId="1" xfId="5" applyBorder="1"/>
    <xf numFmtId="0" fontId="5" fillId="0" borderId="16" xfId="5" applyBorder="1"/>
    <xf numFmtId="0" fontId="5" fillId="0" borderId="13" xfId="5" applyBorder="1"/>
    <xf numFmtId="0" fontId="8" fillId="0" borderId="0" xfId="5" applyFont="1"/>
    <xf numFmtId="0" fontId="9" fillId="0" borderId="0" xfId="5" applyFont="1"/>
    <xf numFmtId="0" fontId="10" fillId="0" borderId="0" xfId="5" applyFont="1"/>
    <xf numFmtId="0" fontId="11" fillId="0" borderId="0" xfId="5" applyFont="1"/>
    <xf numFmtId="0" fontId="5" fillId="0" borderId="17" xfId="5" applyBorder="1"/>
    <xf numFmtId="2" fontId="5" fillId="0" borderId="1" xfId="5" applyNumberFormat="1" applyBorder="1"/>
    <xf numFmtId="0" fontId="12" fillId="0" borderId="0" xfId="5" applyFont="1"/>
    <xf numFmtId="0" fontId="5" fillId="0" borderId="0" xfId="5" applyAlignment="1">
      <alignment horizontal="left"/>
    </xf>
    <xf numFmtId="0" fontId="5" fillId="0" borderId="0" xfId="5" applyAlignment="1">
      <alignment horizontal="right"/>
    </xf>
    <xf numFmtId="165" fontId="5" fillId="0" borderId="1" xfId="5" applyNumberFormat="1" applyBorder="1"/>
    <xf numFmtId="2" fontId="5" fillId="0" borderId="0" xfId="5" applyNumberFormat="1"/>
    <xf numFmtId="0" fontId="5" fillId="0" borderId="13" xfId="5" applyBorder="1" applyAlignment="1">
      <alignment horizontal="right"/>
    </xf>
    <xf numFmtId="167" fontId="5" fillId="0" borderId="0" xfId="5" applyNumberFormat="1"/>
    <xf numFmtId="0" fontId="5" fillId="0" borderId="2" xfId="5" applyBorder="1"/>
    <xf numFmtId="164" fontId="5" fillId="0" borderId="3" xfId="5" applyNumberFormat="1" applyBorder="1"/>
    <xf numFmtId="0" fontId="5" fillId="0" borderId="3" xfId="5" applyBorder="1"/>
    <xf numFmtId="165" fontId="5" fillId="0" borderId="15" xfId="5" applyNumberFormat="1" applyBorder="1"/>
    <xf numFmtId="164" fontId="5" fillId="0" borderId="1" xfId="5" applyNumberFormat="1" applyBorder="1"/>
    <xf numFmtId="168" fontId="5" fillId="0" borderId="0" xfId="5" applyNumberFormat="1"/>
    <xf numFmtId="165" fontId="5" fillId="0" borderId="3" xfId="5" applyNumberFormat="1" applyBorder="1"/>
    <xf numFmtId="10" fontId="5" fillId="0" borderId="3" xfId="5" applyNumberFormat="1" applyBorder="1"/>
    <xf numFmtId="3" fontId="5" fillId="0" borderId="3" xfId="5" applyNumberFormat="1" applyBorder="1"/>
    <xf numFmtId="3" fontId="5" fillId="0" borderId="1" xfId="5" applyNumberFormat="1" applyBorder="1"/>
    <xf numFmtId="165" fontId="5" fillId="0" borderId="0" xfId="5" applyNumberFormat="1"/>
    <xf numFmtId="169" fontId="5" fillId="0" borderId="0" xfId="5" applyNumberFormat="1"/>
    <xf numFmtId="0" fontId="5" fillId="0" borderId="0" xfId="6"/>
    <xf numFmtId="0" fontId="7" fillId="0" borderId="0" xfId="6" applyFont="1"/>
    <xf numFmtId="2" fontId="7" fillId="0" borderId="0" xfId="6" applyNumberFormat="1" applyFont="1"/>
    <xf numFmtId="165" fontId="5" fillId="0" borderId="1" xfId="6" applyNumberFormat="1" applyBorder="1"/>
    <xf numFmtId="9" fontId="5" fillId="0" borderId="0" xfId="3" applyFont="1"/>
    <xf numFmtId="165" fontId="5" fillId="0" borderId="0" xfId="6" applyNumberFormat="1"/>
    <xf numFmtId="1" fontId="5" fillId="0" borderId="1" xfId="6" applyNumberFormat="1" applyBorder="1"/>
    <xf numFmtId="1" fontId="5" fillId="0" borderId="0" xfId="5" applyNumberFormat="1"/>
    <xf numFmtId="2" fontId="5" fillId="3" borderId="1" xfId="6" applyNumberFormat="1" applyFill="1" applyBorder="1"/>
    <xf numFmtId="1" fontId="5" fillId="0" borderId="0" xfId="6" applyNumberFormat="1"/>
    <xf numFmtId="1" fontId="5" fillId="3" borderId="1" xfId="6" applyNumberFormat="1" applyFill="1" applyBorder="1"/>
    <xf numFmtId="164" fontId="5" fillId="0" borderId="0" xfId="5" applyNumberFormat="1"/>
    <xf numFmtId="3" fontId="5" fillId="0" borderId="0" xfId="5" applyNumberFormat="1"/>
    <xf numFmtId="9" fontId="0" fillId="0" borderId="0" xfId="0" applyNumberFormat="1"/>
    <xf numFmtId="0" fontId="4" fillId="0" borderId="0" xfId="0" applyFont="1"/>
    <xf numFmtId="9" fontId="0" fillId="0" borderId="1" xfId="0" applyNumberFormat="1" applyBorder="1"/>
    <xf numFmtId="2" fontId="0" fillId="0" borderId="1" xfId="0" applyNumberFormat="1" applyBorder="1"/>
    <xf numFmtId="9" fontId="0" fillId="0" borderId="1" xfId="3" applyFont="1" applyBorder="1"/>
    <xf numFmtId="9" fontId="0" fillId="4" borderId="1" xfId="3" applyFont="1" applyFill="1" applyBorder="1"/>
    <xf numFmtId="9" fontId="0" fillId="0" borderId="7" xfId="3" applyFont="1" applyBorder="1"/>
    <xf numFmtId="0" fontId="2" fillId="0" borderId="18" xfId="0" applyFont="1" applyBorder="1"/>
    <xf numFmtId="9" fontId="0" fillId="0" borderId="10" xfId="3" applyFont="1" applyBorder="1"/>
    <xf numFmtId="0" fontId="0" fillId="0" borderId="20" xfId="0" applyBorder="1"/>
    <xf numFmtId="0" fontId="0" fillId="0" borderId="21" xfId="0" applyBorder="1"/>
    <xf numFmtId="9" fontId="0" fillId="0" borderId="22" xfId="0" applyNumberFormat="1" applyBorder="1"/>
    <xf numFmtId="0" fontId="2" fillId="0" borderId="20" xfId="0" applyFont="1" applyBorder="1"/>
    <xf numFmtId="9" fontId="2" fillId="0" borderId="13" xfId="0" applyNumberFormat="1" applyFont="1" applyBorder="1"/>
    <xf numFmtId="165" fontId="0" fillId="4" borderId="1" xfId="0" applyNumberFormat="1" applyFill="1" applyBorder="1"/>
    <xf numFmtId="0" fontId="2" fillId="0" borderId="8" xfId="0" applyFont="1" applyBorder="1" applyAlignment="1">
      <alignment horizontal="right"/>
    </xf>
    <xf numFmtId="0" fontId="2" fillId="0" borderId="11" xfId="0" applyFont="1" applyBorder="1"/>
    <xf numFmtId="166" fontId="2" fillId="0" borderId="6" xfId="0" applyNumberFormat="1" applyFont="1" applyBorder="1"/>
    <xf numFmtId="168" fontId="0" fillId="4" borderId="0" xfId="3" applyNumberFormat="1" applyFont="1" applyFill="1"/>
    <xf numFmtId="166" fontId="2" fillId="0" borderId="8" xfId="1" applyNumberFormat="1" applyFont="1" applyBorder="1"/>
    <xf numFmtId="9" fontId="2" fillId="0" borderId="7" xfId="3" applyFont="1" applyBorder="1"/>
    <xf numFmtId="9" fontId="2" fillId="0" borderId="1" xfId="0" applyNumberFormat="1" applyFont="1" applyBorder="1"/>
    <xf numFmtId="0" fontId="13" fillId="0" borderId="0" xfId="0" applyFont="1"/>
    <xf numFmtId="0" fontId="5" fillId="2" borderId="1" xfId="5" applyFill="1" applyBorder="1"/>
    <xf numFmtId="9" fontId="5" fillId="2" borderId="1" xfId="5" applyNumberFormat="1" applyFill="1" applyBorder="1"/>
    <xf numFmtId="165" fontId="5" fillId="2" borderId="1" xfId="5" applyNumberFormat="1" applyFill="1" applyBorder="1"/>
    <xf numFmtId="1" fontId="5" fillId="0" borderId="1" xfId="5" applyNumberFormat="1" applyBorder="1"/>
    <xf numFmtId="166" fontId="0" fillId="0" borderId="2" xfId="0" applyNumberFormat="1" applyBorder="1"/>
    <xf numFmtId="166" fontId="0" fillId="0" borderId="23" xfId="0" applyNumberFormat="1" applyBorder="1"/>
    <xf numFmtId="166" fontId="0" fillId="0" borderId="2" xfId="1" applyNumberFormat="1" applyFont="1" applyBorder="1"/>
    <xf numFmtId="166" fontId="0" fillId="0" borderId="24" xfId="0" applyNumberFormat="1" applyBorder="1"/>
    <xf numFmtId="0" fontId="2" fillId="0" borderId="25" xfId="0" applyFont="1" applyBorder="1"/>
    <xf numFmtId="0" fontId="2" fillId="0" borderId="26" xfId="0" applyFont="1" applyBorder="1"/>
    <xf numFmtId="0" fontId="2" fillId="0" borderId="19" xfId="0" applyFont="1" applyBorder="1"/>
    <xf numFmtId="9" fontId="0" fillId="0" borderId="9" xfId="3" applyFont="1" applyBorder="1"/>
    <xf numFmtId="166" fontId="2" fillId="0" borderId="23" xfId="0" applyNumberFormat="1" applyFont="1" applyBorder="1"/>
    <xf numFmtId="9" fontId="2" fillId="0" borderId="1" xfId="3" applyFont="1" applyBorder="1"/>
    <xf numFmtId="9" fontId="1" fillId="0" borderId="1" xfId="3" applyFont="1" applyBorder="1"/>
    <xf numFmtId="166" fontId="2" fillId="0" borderId="8" xfId="0" applyNumberFormat="1" applyFont="1" applyBorder="1"/>
    <xf numFmtId="9" fontId="2" fillId="0" borderId="9" xfId="3" applyFont="1" applyBorder="1"/>
    <xf numFmtId="9" fontId="2" fillId="0" borderId="10" xfId="3" applyFont="1" applyBorder="1"/>
    <xf numFmtId="1" fontId="2" fillId="4" borderId="1" xfId="0" applyNumberFormat="1" applyFont="1" applyFill="1" applyBorder="1"/>
    <xf numFmtId="1" fontId="5" fillId="2" borderId="1" xfId="5" applyNumberFormat="1" applyFill="1" applyBorder="1"/>
    <xf numFmtId="2" fontId="0" fillId="0" borderId="1" xfId="3" applyNumberFormat="1" applyFont="1" applyFill="1" applyBorder="1"/>
    <xf numFmtId="0" fontId="2" fillId="0" borderId="6" xfId="0" applyFon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8" xfId="0" applyBorder="1" applyAlignment="1">
      <alignment horizontal="left"/>
    </xf>
    <xf numFmtId="166" fontId="2" fillId="0" borderId="14" xfId="0" applyNumberFormat="1" applyFont="1" applyBorder="1"/>
    <xf numFmtId="9" fontId="2" fillId="0" borderId="14" xfId="3" applyFont="1" applyBorder="1"/>
    <xf numFmtId="9" fontId="2" fillId="0" borderId="13" xfId="3" applyFont="1" applyBorder="1"/>
    <xf numFmtId="168" fontId="0" fillId="4" borderId="0" xfId="0" applyNumberFormat="1" applyFill="1"/>
    <xf numFmtId="0" fontId="14" fillId="0" borderId="6" xfId="0" applyFont="1" applyBorder="1" applyAlignment="1">
      <alignment horizontal="left"/>
    </xf>
    <xf numFmtId="0" fontId="14" fillId="0" borderId="2" xfId="0" applyFont="1" applyBorder="1"/>
    <xf numFmtId="166" fontId="14" fillId="0" borderId="6" xfId="1" applyNumberFormat="1" applyFont="1" applyBorder="1"/>
    <xf numFmtId="166" fontId="14" fillId="0" borderId="1" xfId="0" applyNumberFormat="1" applyFont="1" applyBorder="1"/>
    <xf numFmtId="166" fontId="14" fillId="0" borderId="2" xfId="0" applyNumberFormat="1" applyFont="1" applyBorder="1"/>
    <xf numFmtId="166" fontId="14" fillId="0" borderId="6" xfId="0" applyNumberFormat="1" applyFont="1" applyBorder="1"/>
    <xf numFmtId="9" fontId="14" fillId="0" borderId="1" xfId="3" applyFont="1" applyBorder="1"/>
    <xf numFmtId="9" fontId="14" fillId="0" borderId="7" xfId="3" applyFont="1" applyBorder="1"/>
    <xf numFmtId="166" fontId="2" fillId="0" borderId="25" xfId="0" applyNumberFormat="1" applyFont="1" applyBorder="1"/>
    <xf numFmtId="166" fontId="2" fillId="0" borderId="28" xfId="0" applyNumberFormat="1" applyFont="1" applyBorder="1"/>
    <xf numFmtId="0" fontId="0" fillId="0" borderId="29" xfId="0" applyBorder="1"/>
    <xf numFmtId="0" fontId="0" fillId="0" borderId="30" xfId="0" applyBorder="1"/>
    <xf numFmtId="0" fontId="0" fillId="0" borderId="27" xfId="0" applyBorder="1"/>
    <xf numFmtId="9" fontId="2" fillId="0" borderId="26" xfId="3" applyFont="1" applyBorder="1"/>
    <xf numFmtId="9" fontId="2" fillId="0" borderId="19" xfId="3" applyFont="1" applyBorder="1"/>
    <xf numFmtId="9" fontId="0" fillId="0" borderId="0" xfId="3" applyFont="1" applyFill="1" applyBorder="1"/>
    <xf numFmtId="9" fontId="0" fillId="0" borderId="0" xfId="3" applyFont="1" applyBorder="1"/>
    <xf numFmtId="9" fontId="0" fillId="4" borderId="6" xfId="0" applyNumberFormat="1" applyFill="1" applyBorder="1"/>
    <xf numFmtId="166" fontId="0" fillId="0" borderId="22" xfId="0" applyNumberFormat="1" applyBorder="1"/>
    <xf numFmtId="0" fontId="2" fillId="0" borderId="31" xfId="0" applyFont="1" applyBorder="1"/>
    <xf numFmtId="0" fontId="2" fillId="0" borderId="32" xfId="0" applyFont="1" applyBorder="1"/>
    <xf numFmtId="9" fontId="0" fillId="0" borderId="33" xfId="3" applyFont="1" applyFill="1" applyBorder="1"/>
    <xf numFmtId="166" fontId="2" fillId="0" borderId="34" xfId="0" applyNumberFormat="1" applyFont="1" applyBorder="1"/>
    <xf numFmtId="9" fontId="2" fillId="0" borderId="34" xfId="3" applyFont="1" applyBorder="1"/>
    <xf numFmtId="0" fontId="0" fillId="0" borderId="34" xfId="0" applyBorder="1"/>
    <xf numFmtId="0" fontId="2" fillId="0" borderId="1" xfId="0" applyFont="1" applyBorder="1" applyAlignment="1">
      <alignment horizontal="right"/>
    </xf>
    <xf numFmtId="0" fontId="15" fillId="6" borderId="35" xfId="7"/>
    <xf numFmtId="0" fontId="0" fillId="0" borderId="3" xfId="0" applyBorder="1"/>
    <xf numFmtId="165" fontId="0" fillId="0" borderId="3" xfId="0" applyNumberFormat="1" applyBorder="1"/>
    <xf numFmtId="165" fontId="7" fillId="0" borderId="0" xfId="6" applyNumberFormat="1" applyFont="1"/>
    <xf numFmtId="9" fontId="0" fillId="4" borderId="22" xfId="0" applyNumberFormat="1" applyFill="1" applyBorder="1"/>
    <xf numFmtId="9" fontId="14" fillId="4" borderId="22" xfId="0" applyNumberFormat="1" applyFont="1" applyFill="1" applyBorder="1"/>
    <xf numFmtId="9" fontId="0" fillId="4" borderId="21" xfId="0" applyNumberFormat="1" applyFill="1" applyBorder="1"/>
    <xf numFmtId="0" fontId="0" fillId="4" borderId="3" xfId="0" applyFill="1" applyBorder="1"/>
    <xf numFmtId="165" fontId="0" fillId="4" borderId="0" xfId="0" applyNumberFormat="1" applyFill="1"/>
    <xf numFmtId="0" fontId="2" fillId="0" borderId="0" xfId="0" applyFont="1" applyAlignment="1">
      <alignment horizontal="right"/>
    </xf>
    <xf numFmtId="0" fontId="16" fillId="0" borderId="0" xfId="8"/>
    <xf numFmtId="14" fontId="0" fillId="0" borderId="0" xfId="0" applyNumberFormat="1" applyAlignment="1">
      <alignment horizontal="left"/>
    </xf>
    <xf numFmtId="2" fontId="7" fillId="0" borderId="13" xfId="6" applyNumberFormat="1" applyFont="1" applyBorder="1"/>
    <xf numFmtId="1" fontId="0" fillId="4" borderId="1" xfId="0" applyNumberFormat="1" applyFill="1" applyBorder="1"/>
    <xf numFmtId="8" fontId="0" fillId="0" borderId="0" xfId="0" applyNumberFormat="1"/>
    <xf numFmtId="170" fontId="0" fillId="0" borderId="0" xfId="0" applyNumberFormat="1"/>
    <xf numFmtId="2" fontId="5" fillId="0" borderId="1" xfId="6" applyNumberFormat="1" applyBorder="1"/>
    <xf numFmtId="1" fontId="0" fillId="4" borderId="0" xfId="0" applyNumberFormat="1" applyFill="1"/>
    <xf numFmtId="9" fontId="0" fillId="3" borderId="0" xfId="0" applyNumberFormat="1" applyFill="1"/>
    <xf numFmtId="1" fontId="0" fillId="0" borderId="1" xfId="3" applyNumberFormat="1" applyFont="1" applyFill="1" applyBorder="1"/>
    <xf numFmtId="9" fontId="0" fillId="4" borderId="0" xfId="3" applyFont="1" applyFill="1"/>
    <xf numFmtId="166" fontId="0" fillId="4" borderId="0" xfId="1" applyNumberFormat="1" applyFont="1" applyFill="1"/>
    <xf numFmtId="6" fontId="0" fillId="0" borderId="0" xfId="0" applyNumberFormat="1"/>
    <xf numFmtId="166" fontId="0" fillId="0" borderId="0" xfId="1" applyNumberFormat="1" applyFont="1" applyFill="1"/>
    <xf numFmtId="1" fontId="0" fillId="4" borderId="0" xfId="1" applyNumberFormat="1" applyFont="1" applyFill="1"/>
    <xf numFmtId="168" fontId="0" fillId="0" borderId="0" xfId="3" applyNumberFormat="1" applyFont="1" applyFill="1"/>
    <xf numFmtId="9" fontId="1" fillId="4" borderId="1" xfId="3" applyFont="1" applyFill="1" applyBorder="1"/>
    <xf numFmtId="0" fontId="17" fillId="0" borderId="0" xfId="0" applyFont="1"/>
    <xf numFmtId="168" fontId="17" fillId="0" borderId="0" xfId="3" applyNumberFormat="1" applyFont="1"/>
  </cellXfs>
  <cellStyles count="9">
    <cellStyle name="Calculation" xfId="7" builtinId="22"/>
    <cellStyle name="Currency" xfId="1" builtinId="4"/>
    <cellStyle name="Hyperlink" xfId="8" builtinId="8"/>
    <cellStyle name="Normal" xfId="0" builtinId="0"/>
    <cellStyle name="Normal 10" xfId="6" xr:uid="{6218C591-B2BC-4415-8474-2A4C501CD4BC}"/>
    <cellStyle name="Normal 13 2 3" xfId="4" xr:uid="{BDA9AC79-2E0D-42C2-934A-025FD215C8EE}"/>
    <cellStyle name="Normal 2" xfId="2" xr:uid="{00000000-0005-0000-0000-000002000000}"/>
    <cellStyle name="Normal 3" xfId="5" xr:uid="{6D983638-7937-4EB7-8762-4A104D660C5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IO!$D$76:$D$85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EF-4E7D-A001-88095F67D1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EF-4E7D-A001-88095F67D1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EF-4E7D-A001-88095F67D1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EF-4E7D-A001-88095F67D1F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EF-4E7D-A001-88095F67D1F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53EF-4E7D-A001-88095F67D1F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3EF-4E7D-A001-88095F67D1F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3EF-4E7D-A001-88095F67D1F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53EF-4E7D-A001-88095F67D1F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53EF-4E7D-A001-88095F67D1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IO!$D$76:$D$85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IO!$E$76:$E$85</c:f>
              <c:numCache>
                <c:formatCode>0%</c:formatCode>
                <c:ptCount val="10"/>
                <c:pt idx="0">
                  <c:v>3.9178663186315139E-2</c:v>
                </c:pt>
                <c:pt idx="1">
                  <c:v>0.18720648073619223</c:v>
                </c:pt>
                <c:pt idx="2">
                  <c:v>5.8562719888356825E-2</c:v>
                </c:pt>
                <c:pt idx="3">
                  <c:v>4.8088645693205354E-2</c:v>
                </c:pt>
                <c:pt idx="4">
                  <c:v>6.6217357295605692E-3</c:v>
                </c:pt>
                <c:pt idx="5">
                  <c:v>7.2456126843524361E-3</c:v>
                </c:pt>
                <c:pt idx="6">
                  <c:v>2.2622388983991677E-2</c:v>
                </c:pt>
                <c:pt idx="7">
                  <c:v>3.6952624690197423E-2</c:v>
                </c:pt>
                <c:pt idx="8">
                  <c:v>0.19742195622759148</c:v>
                </c:pt>
                <c:pt idx="9">
                  <c:v>0.39609917218023677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0CF-429D-AA1A-2538FA347BF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1.920689281451771E-2"/>
                  <c:y val="-0.315027567862742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4"/>
              <c:pt idx="0">
                <c:v>1</c:v>
              </c:pt>
              <c:pt idx="1">
                <c:v>10</c:v>
              </c:pt>
              <c:pt idx="2">
                <c:v>50</c:v>
              </c:pt>
              <c:pt idx="3">
                <c:v>100</c:v>
              </c:pt>
            </c:numLit>
          </c:xVal>
          <c:yVal>
            <c:numLit>
              <c:formatCode>General</c:formatCode>
              <c:ptCount val="4"/>
              <c:pt idx="0">
                <c:v>2840.7338030111791</c:v>
              </c:pt>
              <c:pt idx="1">
                <c:v>2067.052115295282</c:v>
              </c:pt>
              <c:pt idx="2">
                <c:v>1740.8084470831268</c:v>
              </c:pt>
              <c:pt idx="3">
                <c:v>1633.5312146845411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4D85-4545-9ECC-CF4375440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251808"/>
        <c:axId val="672249184"/>
      </c:scatterChart>
      <c:valAx>
        <c:axId val="672251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49184"/>
        <c:crosses val="autoZero"/>
        <c:crossBetween val="midCat"/>
      </c:valAx>
      <c:valAx>
        <c:axId val="67224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51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1.0655708550265208E-2"/>
                  <c:y val="-0.62063726299946775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4"/>
              <c:pt idx="0">
                <c:v>1</c:v>
              </c:pt>
              <c:pt idx="1">
                <c:v>10</c:v>
              </c:pt>
              <c:pt idx="2">
                <c:v>50</c:v>
              </c:pt>
              <c:pt idx="3">
                <c:v>100</c:v>
              </c:pt>
            </c:numLit>
          </c:xVal>
          <c:yVal>
            <c:numLit>
              <c:formatCode>General</c:formatCode>
              <c:ptCount val="4"/>
              <c:pt idx="0">
                <c:v>4553389.3974871347</c:v>
              </c:pt>
              <c:pt idx="1">
                <c:v>877381.15557694586</c:v>
              </c:pt>
              <c:pt idx="2">
                <c:v>220063.18157588042</c:v>
              </c:pt>
              <c:pt idx="3">
                <c:v>108200.59591150202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E17-40FB-AFAC-D8DFD197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018504"/>
        <c:axId val="669024736"/>
      </c:scatterChart>
      <c:valAx>
        <c:axId val="66901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</a:t>
                </a:r>
                <a:r>
                  <a:rPr lang="en-US" baseline="0"/>
                  <a:t> WECs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024736"/>
        <c:crosses val="autoZero"/>
        <c:crossBetween val="midCat"/>
      </c:valAx>
      <c:valAx>
        <c:axId val="66902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Project</a:t>
                </a:r>
                <a:r>
                  <a:rPr lang="en-US" baseline="0"/>
                  <a:t> Development Cost per WEC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018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0872966761882737E-2"/>
                  <c:y val="-0.11646830405535839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4"/>
              <c:pt idx="0">
                <c:v>1</c:v>
              </c:pt>
              <c:pt idx="1">
                <c:v>10</c:v>
              </c:pt>
              <c:pt idx="2">
                <c:v>50</c:v>
              </c:pt>
              <c:pt idx="3">
                <c:v>100</c:v>
              </c:pt>
            </c:numLit>
          </c:xVal>
          <c:yVal>
            <c:numLit>
              <c:formatCode>General</c:formatCode>
              <c:ptCount val="4"/>
              <c:pt idx="0">
                <c:v>1006933.4444226624</c:v>
              </c:pt>
              <c:pt idx="1">
                <c:v>1006933.4444226624</c:v>
              </c:pt>
              <c:pt idx="2">
                <c:v>3759218.1925112726</c:v>
              </c:pt>
              <c:pt idx="3">
                <c:v>9733689.9627524018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49A8-4B5F-B524-5E9A09CD0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486704"/>
        <c:axId val="671487688"/>
      </c:scatterChart>
      <c:valAx>
        <c:axId val="671486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487688"/>
        <c:crosses val="autoZero"/>
        <c:crossBetween val="midCat"/>
      </c:valAx>
      <c:valAx>
        <c:axId val="67148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Electrical</a:t>
                </a:r>
                <a:r>
                  <a:rPr lang="en-US" baseline="0"/>
                  <a:t> and Infrastructure Cost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486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5.3207269965889328E-2"/>
                  <c:y val="-0.62464311823101371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4"/>
              <c:pt idx="0">
                <c:v>286</c:v>
              </c:pt>
              <c:pt idx="1">
                <c:v>2860</c:v>
              </c:pt>
              <c:pt idx="2">
                <c:v>14300</c:v>
              </c:pt>
              <c:pt idx="3">
                <c:v>28600</c:v>
              </c:pt>
            </c:numLit>
          </c:xVal>
          <c:yVal>
            <c:numLit>
              <c:formatCode>General</c:formatCode>
              <c:ptCount val="4"/>
              <c:pt idx="0">
                <c:v>2332.1678321678323</c:v>
              </c:pt>
              <c:pt idx="1">
                <c:v>268.25174825174827</c:v>
              </c:pt>
              <c:pt idx="2">
                <c:v>53.650349650349654</c:v>
              </c:pt>
              <c:pt idx="3">
                <c:v>53.636363636363633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7F7-40EF-A541-40A5BEE00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20752"/>
        <c:axId val="91422064"/>
      </c:scatterChart>
      <c:valAx>
        <c:axId val="91420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Farm</a:t>
                </a:r>
                <a:r>
                  <a:rPr lang="en-US" baseline="0"/>
                  <a:t> Rated Capacity (kW)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22064"/>
        <c:crosses val="autoZero"/>
        <c:crossBetween val="midCat"/>
      </c:valAx>
      <c:valAx>
        <c:axId val="9142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$/kW</a:t>
                </a:r>
                <a:r>
                  <a:rPr lang="en-US" baseline="0"/>
                  <a:t> Rated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20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9386264216972877E-2"/>
                  <c:y val="-2.7777777777777776E-2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4"/>
              <c:pt idx="0">
                <c:v>1</c:v>
              </c:pt>
              <c:pt idx="1">
                <c:v>10</c:v>
              </c:pt>
              <c:pt idx="2">
                <c:v>50</c:v>
              </c:pt>
              <c:pt idx="3">
                <c:v>100</c:v>
              </c:pt>
            </c:numLit>
          </c:xVal>
          <c:yVal>
            <c:numLit>
              <c:formatCode>General</c:formatCode>
              <c:ptCount val="4"/>
              <c:pt idx="0">
                <c:v>3193833.5500000003</c:v>
              </c:pt>
              <c:pt idx="1">
                <c:v>3904558.5555555555</c:v>
              </c:pt>
              <c:pt idx="2">
                <c:v>7063960.777777778</c:v>
              </c:pt>
              <c:pt idx="3">
                <c:v>11013213.555555556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659-4F7B-A79C-34CEE15AB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5388176"/>
        <c:axId val="220697712"/>
      </c:scatterChart>
      <c:valAx>
        <c:axId val="1525388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Anchors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697712"/>
        <c:crosses val="autoZero"/>
        <c:crossBetween val="midCat"/>
      </c:valAx>
      <c:valAx>
        <c:axId val="22069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88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3954766292511311E-2"/>
                  <c:y val="-1.8680673739826754E-2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4"/>
              <c:pt idx="0">
                <c:v>1</c:v>
              </c:pt>
              <c:pt idx="1">
                <c:v>10</c:v>
              </c:pt>
              <c:pt idx="2">
                <c:v>50</c:v>
              </c:pt>
              <c:pt idx="3">
                <c:v>100</c:v>
              </c:pt>
            </c:numLit>
          </c:xVal>
          <c:yVal>
            <c:numLit>
              <c:formatCode>General</c:formatCode>
              <c:ptCount val="4"/>
              <c:pt idx="0">
                <c:v>1507533.78</c:v>
              </c:pt>
              <c:pt idx="1">
                <c:v>2280164.6</c:v>
              </c:pt>
              <c:pt idx="2">
                <c:v>4503814.5999999996</c:v>
              </c:pt>
              <c:pt idx="3">
                <c:v>7283377.0999999996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125-4464-99C0-37A5CC421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9980768"/>
        <c:axId val="479981096"/>
      </c:scatterChart>
      <c:valAx>
        <c:axId val="47998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WECs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9981096"/>
        <c:crosses val="autoZero"/>
        <c:crossBetween val="midCat"/>
      </c:valAx>
      <c:valAx>
        <c:axId val="479981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Subsea</a:t>
                </a:r>
                <a:r>
                  <a:rPr lang="en-US" baseline="0"/>
                  <a:t> Cable Install Cost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998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Large Scale Device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8.0222003499562558E-2"/>
                  <c:y val="-2.7777777777777776E-2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4"/>
              <c:pt idx="0">
                <c:v>1</c:v>
              </c:pt>
              <c:pt idx="1">
                <c:v>10</c:v>
              </c:pt>
              <c:pt idx="2">
                <c:v>50</c:v>
              </c:pt>
              <c:pt idx="3">
                <c:v>100</c:v>
              </c:pt>
            </c:numLit>
          </c:xVal>
          <c:yVal>
            <c:numLit>
              <c:formatCode>General</c:formatCode>
              <c:ptCount val="4"/>
              <c:pt idx="0">
                <c:v>255202.5</c:v>
              </c:pt>
              <c:pt idx="1">
                <c:v>916275</c:v>
              </c:pt>
              <c:pt idx="2">
                <c:v>3854375</c:v>
              </c:pt>
              <c:pt idx="3">
                <c:v>7527000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66C-4E6B-8657-F6BD5264A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69376"/>
        <c:axId val="660869704"/>
      </c:scatterChart>
      <c:valAx>
        <c:axId val="660869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WECs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869704"/>
        <c:crosses val="autoZero"/>
        <c:crossBetween val="midCat"/>
      </c:valAx>
      <c:valAx>
        <c:axId val="66086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Install</a:t>
                </a:r>
                <a:r>
                  <a:rPr lang="en-US" baseline="0"/>
                  <a:t> + Commissioning Cost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869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1124737532808399"/>
                  <c:y val="-3.5433435403907844E-2"/>
                </c:manualLayout>
              </c:layout>
              <c:numFmt formatCode="General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3"/>
              <c:pt idx="0">
                <c:v>1</c:v>
              </c:pt>
              <c:pt idx="1">
                <c:v>10</c:v>
              </c:pt>
              <c:pt idx="2">
                <c:v>100</c:v>
              </c:pt>
            </c:numLit>
          </c:xVal>
          <c:yVal>
            <c:numLit>
              <c:formatCode>General</c:formatCode>
              <c:ptCount val="3"/>
              <c:pt idx="0">
                <c:v>710000</c:v>
              </c:pt>
              <c:pt idx="1">
                <c:v>1121000</c:v>
              </c:pt>
              <c:pt idx="2">
                <c:v>2242000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C89-47B6-AB03-E7E56E02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3579183"/>
        <c:axId val="1916807695"/>
      </c:scatterChart>
      <c:valAx>
        <c:axId val="1923579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</a:t>
                </a:r>
                <a:r>
                  <a:rPr lang="en-US" baseline="0"/>
                  <a:t> of WECs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6807695"/>
        <c:crosses val="autoZero"/>
        <c:crossBetween val="midCat"/>
      </c:valAx>
      <c:valAx>
        <c:axId val="1916807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Environmental</a:t>
                </a:r>
                <a:r>
                  <a:rPr lang="en-US" baseline="0"/>
                  <a:t> Monitoring ($/yr)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35791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Diameter - Grid Connected</a:t>
            </a:r>
          </a:p>
        </c:rich>
      </c:tx>
      <c:layout>
        <c:manualLayout>
          <c:xMode val="edge"/>
          <c:yMode val="edge"/>
          <c:x val="0.2302262262843246"/>
          <c:y val="2.7053148329156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tx>
            <c:v>Linear Damping</c:v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IO!#REF!</c:f>
            </c:numRef>
          </c:xVal>
          <c:yVal>
            <c:numRef>
              <c:f>IO!#REF!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44-40FD-A7D4-202E6D8E5C06}"/>
            </c:ext>
          </c:extLst>
        </c:ser>
        <c:ser>
          <c:idx val="1"/>
          <c:order val="1"/>
          <c:tx>
            <c:v>Optimal Control</c:v>
          </c:tx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IO!#REF!</c:f>
            </c:numRef>
          </c:xVal>
          <c:yVal>
            <c:numRef>
              <c:f>IO!#REF!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44-40FD-A7D4-202E6D8E5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Diameter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85772409454"/>
          <c:h val="6.5955249993460308E-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4591781331799657"/>
          <c:y val="0.19056495984509061"/>
          <c:w val="0.45772498335678774"/>
          <c:h val="0.59301327279882643"/>
        </c:manualLayout>
      </c:layout>
      <c:doughnutChart>
        <c:varyColors val="1"/>
        <c:ser>
          <c:idx val="0"/>
          <c:order val="0"/>
          <c:tx>
            <c:strRef>
              <c:f>IO!$I$76:$I$83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27-4B6B-8FD5-2F4867A4D8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927-4B6B-8FD5-2F4867A4D8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927-4B6B-8FD5-2F4867A4D8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927-4B6B-8FD5-2F4867A4D8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927-4B6B-8FD5-2F4867A4D84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3927-4B6B-8FD5-2F4867A4D84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3927-4B6B-8FD5-2F4867A4D84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3927-4B6B-8FD5-2F4867A4D8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IO!$D$76:$D$85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IO!$J$76:$J$83</c:f>
              <c:numCache>
                <c:formatCode>0%</c:formatCode>
                <c:ptCount val="8"/>
                <c:pt idx="0">
                  <c:v>9.6385485013902206E-2</c:v>
                </c:pt>
                <c:pt idx="1">
                  <c:v>0.46055648600604315</c:v>
                </c:pt>
                <c:pt idx="2">
                  <c:v>0.14407321999042047</c:v>
                </c:pt>
                <c:pt idx="3">
                  <c:v>0.11830540048697451</c:v>
                </c:pt>
                <c:pt idx="4">
                  <c:v>1.6290479511575421E-2</c:v>
                </c:pt>
                <c:pt idx="5">
                  <c:v>1.7825311942959002E-2</c:v>
                </c:pt>
                <c:pt idx="6">
                  <c:v>5.565452613903428E-2</c:v>
                </c:pt>
                <c:pt idx="7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927-4B6B-8FD5-2F4867A4D84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Contribution to LCoE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41016937741597"/>
          <c:y val="0.19056495984509061"/>
          <c:w val="0.7522326512979618"/>
          <c:h val="0.46070564246986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IO!$D$76:$D$85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AA-444E-92F6-3B9845AFFE4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8AA-444E-92F6-3B9845AFFE4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8AA-444E-92F6-3B9845AFFE4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AA-444E-92F6-3B9845AFFE4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AA-444E-92F6-3B9845AFFE4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18AA-444E-92F6-3B9845AFFE4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18AA-444E-92F6-3B9845AFFE4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18AA-444E-92F6-3B9845AFFE4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18AA-444E-92F6-3B9845AFFE4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18AA-444E-92F6-3B9845AFFE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IO!$D$76:$D$85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IO!$E$76:$E$85</c:f>
              <c:numCache>
                <c:formatCode>0%</c:formatCode>
                <c:ptCount val="10"/>
                <c:pt idx="0">
                  <c:v>3.9178663186315139E-2</c:v>
                </c:pt>
                <c:pt idx="1">
                  <c:v>0.18720648073619223</c:v>
                </c:pt>
                <c:pt idx="2">
                  <c:v>5.8562719888356825E-2</c:v>
                </c:pt>
                <c:pt idx="3">
                  <c:v>4.8088645693205354E-2</c:v>
                </c:pt>
                <c:pt idx="4">
                  <c:v>6.6217357295605692E-3</c:v>
                </c:pt>
                <c:pt idx="5">
                  <c:v>7.2456126843524361E-3</c:v>
                </c:pt>
                <c:pt idx="6">
                  <c:v>2.2622388983991677E-2</c:v>
                </c:pt>
                <c:pt idx="7">
                  <c:v>3.6952624690197423E-2</c:v>
                </c:pt>
                <c:pt idx="8">
                  <c:v>0.19742195622759148</c:v>
                </c:pt>
                <c:pt idx="9">
                  <c:v>0.39609917218023677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8AA-444E-92F6-3B9845AFFE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814457056"/>
        <c:axId val="1814454976"/>
      </c:barChart>
      <c:catAx>
        <c:axId val="18144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4976"/>
        <c:crosses val="autoZero"/>
        <c:auto val="1"/>
        <c:lblAlgn val="ctr"/>
        <c:lblOffset val="100"/>
        <c:noMultiLvlLbl val="0"/>
      </c:catAx>
      <c:valAx>
        <c:axId val="181445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5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Breakdown</a:t>
            </a:r>
          </a:p>
        </c:rich>
      </c:tx>
      <c:layout>
        <c:manualLayout>
          <c:xMode val="edge"/>
          <c:yMode val="edge"/>
          <c:x val="0.34521794614317575"/>
          <c:y val="1.6564525547071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41066122085641"/>
          <c:y val="0.19056495984509061"/>
          <c:w val="0.73323215945452136"/>
          <c:h val="0.46993640946422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IO!$I$76:$I$83</c:f>
              <c:strCache>
                <c:ptCount val="8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brightRoom" dir="t"/>
            </a:scene3d>
            <a:sp3d prstMaterial="flat">
              <a:bevelT w="50800" h="101600" prst="angle"/>
              <a:contourClr>
                <a:srgbClr val="000000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F4-4ECD-958B-2BA8C31AC48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7F4-4ECD-958B-2BA8C31AC48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7F4-4ECD-958B-2BA8C31AC48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7F4-4ECD-958B-2BA8C31AC48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7F4-4ECD-958B-2BA8C31AC48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67F4-4ECD-958B-2BA8C31AC48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67F4-4ECD-958B-2BA8C31AC48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67F4-4ECD-958B-2BA8C31AC4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IO!$D$76:$D$85</c:f>
              <c:strCache>
                <c:ptCount val="10"/>
                <c:pt idx="0">
                  <c:v>Structural Assembly</c:v>
                </c:pt>
                <c:pt idx="1">
                  <c:v>Power Take-Off System (PTO)</c:v>
                </c:pt>
                <c:pt idx="2">
                  <c:v>Mooring, Foundation, and Sub-Structure </c:v>
                </c:pt>
                <c:pt idx="3">
                  <c:v>Device Installation</c:v>
                </c:pt>
                <c:pt idx="4">
                  <c:v>Project Development</c:v>
                </c:pt>
                <c:pt idx="5">
                  <c:v>Engineering and Management</c:v>
                </c:pt>
                <c:pt idx="6">
                  <c:v>Subsea Cables</c:v>
                </c:pt>
                <c:pt idx="7">
                  <c:v>Construction Financing and Insurance</c:v>
                </c:pt>
                <c:pt idx="8">
                  <c:v>Operations</c:v>
                </c:pt>
                <c:pt idx="9">
                  <c:v>Annual Maintennce &amp; Repair</c:v>
                </c:pt>
              </c:strCache>
            </c:strRef>
          </c:cat>
          <c:val>
            <c:numRef>
              <c:f>IO!$J$76:$J$83</c:f>
              <c:numCache>
                <c:formatCode>0%</c:formatCode>
                <c:ptCount val="8"/>
                <c:pt idx="0">
                  <c:v>9.6385485013902206E-2</c:v>
                </c:pt>
                <c:pt idx="1">
                  <c:v>0.46055648600604315</c:v>
                </c:pt>
                <c:pt idx="2">
                  <c:v>0.14407321999042047</c:v>
                </c:pt>
                <c:pt idx="3">
                  <c:v>0.11830540048697451</c:v>
                </c:pt>
                <c:pt idx="4">
                  <c:v>1.6290479511575421E-2</c:v>
                </c:pt>
                <c:pt idx="5">
                  <c:v>1.7825311942959002E-2</c:v>
                </c:pt>
                <c:pt idx="6">
                  <c:v>5.565452613903428E-2</c:v>
                </c:pt>
                <c:pt idx="7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7F4-4ECD-958B-2BA8C31AC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14445408"/>
        <c:axId val="1814435008"/>
      </c:barChart>
      <c:catAx>
        <c:axId val="18144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35008"/>
        <c:crosses val="autoZero"/>
        <c:auto val="1"/>
        <c:lblAlgn val="ctr"/>
        <c:lblOffset val="100"/>
        <c:noMultiLvlLbl val="0"/>
      </c:catAx>
      <c:valAx>
        <c:axId val="181443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44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Diameter - Grid Connected</a:t>
            </a:r>
          </a:p>
        </c:rich>
      </c:tx>
      <c:layout>
        <c:manualLayout>
          <c:xMode val="edge"/>
          <c:yMode val="edge"/>
          <c:x val="0.22764251624426823"/>
          <c:y val="2.7053148329156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0"/>
          <c:order val="0"/>
          <c:tx>
            <c:v>Linear Damping</c:v>
          </c:tx>
          <c:spPr>
            <a:ln w="9525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IO!#REF!</c:f>
            </c:numRef>
          </c:xVal>
          <c:yVal>
            <c:numRef>
              <c:f>IO!#REF!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70-4048-8A75-529E8E92A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Diameter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85772409454"/>
          <c:h val="6.5955249993460308E-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LCoE vs Buoy Diameter - Grid Connected</a:t>
            </a:r>
          </a:p>
        </c:rich>
      </c:tx>
      <c:layout>
        <c:manualLayout>
          <c:xMode val="edge"/>
          <c:yMode val="edge"/>
          <c:x val="0.2302262262843246"/>
          <c:y val="2.7053148329156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8722892379361"/>
          <c:y val="0.13586080586080587"/>
          <c:w val="0.85173871501890697"/>
          <c:h val="0.668522684664417"/>
        </c:manualLayout>
      </c:layout>
      <c:scatterChart>
        <c:scatterStyle val="smoothMarker"/>
        <c:varyColors val="0"/>
        <c:ser>
          <c:idx val="1"/>
          <c:order val="0"/>
          <c:tx>
            <c:v>Optimal Control</c:v>
          </c:tx>
          <c:spPr>
            <a:ln w="9525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IO!#REF!</c:f>
            </c:numRef>
          </c:xVal>
          <c:yVal>
            <c:numRef>
              <c:f>IO!#REF!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C2-4891-985E-C201974A4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721663"/>
        <c:axId val="2101725823"/>
      </c:scatterChart>
      <c:valAx>
        <c:axId val="210172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Buoy</a:t>
                </a:r>
                <a:r>
                  <a:rPr lang="en-US" baseline="0"/>
                  <a:t> Diameter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552656945025579"/>
              <c:y val="0.8786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5823"/>
        <c:crosses val="autoZero"/>
        <c:crossBetween val="midCat"/>
      </c:valAx>
      <c:valAx>
        <c:axId val="2101725823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</a:t>
                </a:r>
                <a:r>
                  <a:rPr lang="en-US" baseline="0"/>
                  <a:t> ($/MWh)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1721663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525116528911291"/>
          <c:y val="0.16162960399180867"/>
          <c:w val="0.54474885772409454"/>
          <c:h val="6.5955249993460308E-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221391076115487"/>
                  <c:y val="-4.2525153105861767E-2"/>
                </c:manualLayout>
              </c:layout>
              <c:numFmt formatCode="General" sourceLinked="0"/>
              <c:spPr>
                <a:noFill/>
                <a:ln>
                  <a:solidFill>
                    <a:schemeClr val="bg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2"/>
              <c:pt idx="0">
                <c:v>5000</c:v>
              </c:pt>
              <c:pt idx="1">
                <c:v>10000</c:v>
              </c:pt>
              <c:pt idx="2">
                <c:v>15000</c:v>
              </c:pt>
              <c:pt idx="3">
                <c:v>20000</c:v>
              </c:pt>
              <c:pt idx="4">
                <c:v>25000</c:v>
              </c:pt>
              <c:pt idx="5">
                <c:v>30000</c:v>
              </c:pt>
              <c:pt idx="6">
                <c:v>35000</c:v>
              </c:pt>
              <c:pt idx="7">
                <c:v>40000</c:v>
              </c:pt>
              <c:pt idx="8">
                <c:v>45000</c:v>
              </c:pt>
              <c:pt idx="9">
                <c:v>50000</c:v>
              </c:pt>
              <c:pt idx="10">
                <c:v>55000.000000000007</c:v>
              </c:pt>
              <c:pt idx="11">
                <c:v>60000</c:v>
              </c:pt>
            </c:numLit>
          </c:xVal>
          <c:yVal>
            <c:numLit>
              <c:formatCode>General</c:formatCode>
              <c:ptCount val="12"/>
              <c:pt idx="0">
                <c:v>163.44526546250677</c:v>
              </c:pt>
              <c:pt idx="1">
                <c:v>156.98817733990145</c:v>
              </c:pt>
              <c:pt idx="2">
                <c:v>160.89698960043793</c:v>
              </c:pt>
              <c:pt idx="3">
                <c:v>171.54798850574701</c:v>
              </c:pt>
              <c:pt idx="4">
                <c:v>182.82914614121506</c:v>
              </c:pt>
              <c:pt idx="5">
                <c:v>193.79828954570328</c:v>
              </c:pt>
              <c:pt idx="6">
                <c:v>205.77991242474008</c:v>
              </c:pt>
              <c:pt idx="7">
                <c:v>217.60240831964958</c:v>
              </c:pt>
              <c:pt idx="8">
                <c:v>229.35006841817199</c:v>
              </c:pt>
              <c:pt idx="9">
                <c:v>241.79451286261616</c:v>
              </c:pt>
              <c:pt idx="10">
                <c:v>246.03222495894875</c:v>
              </c:pt>
              <c:pt idx="11">
                <c:v>255.78294297656382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FE5-4CCB-AD0F-4FFC2B7F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302784"/>
        <c:axId val="86345776"/>
      </c:scatterChart>
      <c:valAx>
        <c:axId val="189302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Design</a:t>
                </a:r>
                <a:r>
                  <a:rPr lang="en-US" baseline="0"/>
                  <a:t> Hydrostatic Pressure (Pa)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03112423447069"/>
              <c:y val="0.869421114027413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345776"/>
        <c:crosses val="autoZero"/>
        <c:crossBetween val="midCat"/>
      </c:valAx>
      <c:valAx>
        <c:axId val="8634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Steel Intensity (kg/m^3)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302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Mfg Volume Curve</a:t>
            </a:r>
            <a:r>
              <a:rPr lang="en-US" baseline="0"/>
              <a:t> Fit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9642761395890607"/>
                  <c:y val="-0.443351203081312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4"/>
              <c:pt idx="0">
                <c:v>1</c:v>
              </c:pt>
              <c:pt idx="1">
                <c:v>10</c:v>
              </c:pt>
              <c:pt idx="2">
                <c:v>50</c:v>
              </c:pt>
              <c:pt idx="3">
                <c:v>100</c:v>
              </c:pt>
            </c:numLit>
          </c:xVal>
          <c:yVal>
            <c:numLit>
              <c:formatCode>General</c:formatCode>
              <c:ptCount val="4"/>
              <c:pt idx="0">
                <c:v>4352.8093136694652</c:v>
              </c:pt>
              <c:pt idx="1">
                <c:v>3028.0308703563474</c:v>
              </c:pt>
              <c:pt idx="2">
                <c:v>2664.9224882547755</c:v>
              </c:pt>
              <c:pt idx="3">
                <c:v>2582.199238170122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2AF-41A6-9EDD-02294FA6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076591"/>
        <c:axId val="1495077007"/>
      </c:scatterChart>
      <c:valAx>
        <c:axId val="14950765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of Units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077007"/>
        <c:crosses val="autoZero"/>
        <c:crossBetween val="midCat"/>
      </c:valAx>
      <c:valAx>
        <c:axId val="1495077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Cost/ton</a:t>
                </a:r>
                <a:r>
                  <a:rPr lang="en-US" baseline="0"/>
                  <a:t> of Mfg Steel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0765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5" dropStyle="combo" dx="26" fmlaLink="$E$16" fmlaRange="$AC$11:$AC$14" sel="1" val="0"/>
</file>

<file path=xl/ctrlProps/ctrlProp2.xml><?xml version="1.0" encoding="utf-8"?>
<formControlPr xmlns="http://schemas.microsoft.com/office/spreadsheetml/2009/9/main" objectType="Drop" dropLines="3" dropStyle="combo" dx="26" fmlaLink="$E$18" fmlaRange="$AC$11:$AC$13" sel="1" val="0"/>
</file>

<file path=xl/ctrlProps/ctrlProp3.xml><?xml version="1.0" encoding="utf-8"?>
<formControlPr xmlns="http://schemas.microsoft.com/office/spreadsheetml/2009/9/main" objectType="Drop" dropLines="3" dropStyle="combo" dx="26" fmlaLink="$E$4" fmlaRange="$AC$4:$AC$5" sel="2" val="0"/>
</file>

<file path=xl/ctrlProps/ctrlProp4.xml><?xml version="1.0" encoding="utf-8"?>
<formControlPr xmlns="http://schemas.microsoft.com/office/spreadsheetml/2009/9/main" objectType="Drop" dropLines="2" dropStyle="combo" dx="26" fmlaLink="$E$19" fmlaRange="$AC$20:$AC$2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8</xdr:row>
      <xdr:rowOff>107950</xdr:rowOff>
    </xdr:from>
    <xdr:to>
      <xdr:col>10</xdr:col>
      <xdr:colOff>15875</xdr:colOff>
      <xdr:row>27</xdr:row>
      <xdr:rowOff>182609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631950"/>
          <a:ext cx="5807075" cy="3694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198120</xdr:colOff>
          <xdr:row>15</xdr:row>
          <xdr:rowOff>0</xdr:rowOff>
        </xdr:from>
        <xdr:to>
          <xdr:col>5</xdr:col>
          <xdr:colOff>7620</xdr:colOff>
          <xdr:row>16</xdr:row>
          <xdr:rowOff>7620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993775</xdr:colOff>
      <xdr:row>1</xdr:row>
      <xdr:rowOff>16932</xdr:rowOff>
    </xdr:from>
    <xdr:to>
      <xdr:col>10</xdr:col>
      <xdr:colOff>2179108</xdr:colOff>
      <xdr:row>19</xdr:row>
      <xdr:rowOff>138641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547687</xdr:colOff>
      <xdr:row>87</xdr:row>
      <xdr:rowOff>23812</xdr:rowOff>
    </xdr:from>
    <xdr:to>
      <xdr:col>38</xdr:col>
      <xdr:colOff>57830</xdr:colOff>
      <xdr:row>88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65647</xdr:colOff>
      <xdr:row>1</xdr:row>
      <xdr:rowOff>9882</xdr:rowOff>
    </xdr:from>
    <xdr:to>
      <xdr:col>19</xdr:col>
      <xdr:colOff>275197</xdr:colOff>
      <xdr:row>20</xdr:row>
      <xdr:rowOff>47625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</xdr:row>
      <xdr:rowOff>0</xdr:rowOff>
    </xdr:from>
    <xdr:to>
      <xdr:col>39</xdr:col>
      <xdr:colOff>489480</xdr:colOff>
      <xdr:row>19</xdr:row>
      <xdr:rowOff>127001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511970</xdr:colOff>
      <xdr:row>0</xdr:row>
      <xdr:rowOff>142875</xdr:rowOff>
    </xdr:from>
    <xdr:to>
      <xdr:col>48</xdr:col>
      <xdr:colOff>394231</xdr:colOff>
      <xdr:row>19</xdr:row>
      <xdr:rowOff>79376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273844</xdr:colOff>
      <xdr:row>87</xdr:row>
      <xdr:rowOff>23813</xdr:rowOff>
    </xdr:from>
    <xdr:to>
      <xdr:col>64</xdr:col>
      <xdr:colOff>331674</xdr:colOff>
      <xdr:row>88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65</xdr:col>
      <xdr:colOff>0</xdr:colOff>
      <xdr:row>87</xdr:row>
      <xdr:rowOff>0</xdr:rowOff>
    </xdr:from>
    <xdr:to>
      <xdr:col>73</xdr:col>
      <xdr:colOff>57830</xdr:colOff>
      <xdr:row>88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16</xdr:row>
          <xdr:rowOff>182880</xdr:rowOff>
        </xdr:from>
        <xdr:to>
          <xdr:col>4</xdr:col>
          <xdr:colOff>1242060</xdr:colOff>
          <xdr:row>18</xdr:row>
          <xdr:rowOff>7620</xdr:rowOff>
        </xdr:to>
        <xdr:sp macro="" textlink="">
          <xdr:nvSpPr>
            <xdr:cNvPr id="43009" name="Drop Down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2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2712720</xdr:colOff>
          <xdr:row>3</xdr:row>
          <xdr:rowOff>0</xdr:rowOff>
        </xdr:from>
        <xdr:to>
          <xdr:col>4</xdr:col>
          <xdr:colOff>1188720</xdr:colOff>
          <xdr:row>4</xdr:row>
          <xdr:rowOff>30480</xdr:rowOff>
        </xdr:to>
        <xdr:sp macro="" textlink="">
          <xdr:nvSpPr>
            <xdr:cNvPr id="43010" name="Drop Down 2" hidden="1">
              <a:extLst>
                <a:ext uri="{63B3BB69-23CF-44E3-9099-C40C66FF867C}">
                  <a14:compatExt spid="_x0000_s43010"/>
                </a:ext>
                <a:ext uri="{FF2B5EF4-FFF2-40B4-BE49-F238E27FC236}">
                  <a16:creationId xmlns:a16="http://schemas.microsoft.com/office/drawing/2014/main" id="{00000000-0008-0000-0200-00000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18</xdr:row>
          <xdr:rowOff>7620</xdr:rowOff>
        </xdr:from>
        <xdr:to>
          <xdr:col>4</xdr:col>
          <xdr:colOff>1242060</xdr:colOff>
          <xdr:row>19</xdr:row>
          <xdr:rowOff>38100</xdr:rowOff>
        </xdr:to>
        <xdr:sp macro="" textlink="">
          <xdr:nvSpPr>
            <xdr:cNvPr id="43011" name="Drop Down 3" hidden="1">
              <a:extLst>
                <a:ext uri="{63B3BB69-23CF-44E3-9099-C40C66FF867C}">
                  <a14:compatExt spid="_x0000_s43011"/>
                </a:ext>
                <a:ext uri="{FF2B5EF4-FFF2-40B4-BE49-F238E27FC236}">
                  <a16:creationId xmlns:a16="http://schemas.microsoft.com/office/drawing/2014/main" id="{00000000-0008-0000-0200-000003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11907</xdr:colOff>
      <xdr:row>28</xdr:row>
      <xdr:rowOff>83344</xdr:rowOff>
    </xdr:from>
    <xdr:to>
      <xdr:col>21</xdr:col>
      <xdr:colOff>548202</xdr:colOff>
      <xdr:row>41</xdr:row>
      <xdr:rowOff>88131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1" y="5417344"/>
          <a:ext cx="8120576" cy="24812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198120</xdr:colOff>
      <xdr:row>3</xdr:row>
      <xdr:rowOff>7620</xdr:rowOff>
    </xdr:from>
    <xdr:to>
      <xdr:col>15</xdr:col>
      <xdr:colOff>502920</xdr:colOff>
      <xdr:row>19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0E91D5-30E2-4C18-95EF-166DCE859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601980</xdr:colOff>
      <xdr:row>3</xdr:row>
      <xdr:rowOff>0</xdr:rowOff>
    </xdr:from>
    <xdr:to>
      <xdr:col>22</xdr:col>
      <xdr:colOff>499148</xdr:colOff>
      <xdr:row>19</xdr:row>
      <xdr:rowOff>60960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2F6113-6B4B-47E7-B289-DD50C1393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96762</xdr:colOff>
      <xdr:row>21</xdr:row>
      <xdr:rowOff>129540</xdr:rowOff>
    </xdr:from>
    <xdr:to>
      <xdr:col>15</xdr:col>
      <xdr:colOff>323053</xdr:colOff>
      <xdr:row>38</xdr:row>
      <xdr:rowOff>36285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85B18F-CA86-4E8F-A0D8-FB23FC3B1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81</xdr:row>
      <xdr:rowOff>0</xdr:rowOff>
    </xdr:from>
    <xdr:to>
      <xdr:col>14</xdr:col>
      <xdr:colOff>231140</xdr:colOff>
      <xdr:row>95</xdr:row>
      <xdr:rowOff>163830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2B00B0-7959-4E7F-A277-E26CD4EE8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102</xdr:row>
      <xdr:rowOff>0</xdr:rowOff>
    </xdr:from>
    <xdr:to>
      <xdr:col>13</xdr:col>
      <xdr:colOff>532410</xdr:colOff>
      <xdr:row>116</xdr:row>
      <xdr:rowOff>133400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CAE98AF-EBD9-4789-BA58-3041DCA1A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121</xdr:row>
      <xdr:rowOff>0</xdr:rowOff>
    </xdr:from>
    <xdr:to>
      <xdr:col>13</xdr:col>
      <xdr:colOff>452437</xdr:colOff>
      <xdr:row>139</xdr:row>
      <xdr:rowOff>159068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A42D466-1859-4C86-8524-7AEAB3717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121</xdr:row>
      <xdr:rowOff>0</xdr:rowOff>
    </xdr:from>
    <xdr:to>
      <xdr:col>21</xdr:col>
      <xdr:colOff>304800</xdr:colOff>
      <xdr:row>140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CBE9DA1-D14D-4834-8D29-B04EA3646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586740</xdr:colOff>
      <xdr:row>121</xdr:row>
      <xdr:rowOff>7620</xdr:rowOff>
    </xdr:from>
    <xdr:to>
      <xdr:col>29</xdr:col>
      <xdr:colOff>186690</xdr:colOff>
      <xdr:row>139</xdr:row>
      <xdr:rowOff>166688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516850F-4FD2-4535-B036-08CACA443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449580</xdr:colOff>
      <xdr:row>121</xdr:row>
      <xdr:rowOff>60960</xdr:rowOff>
    </xdr:from>
    <xdr:to>
      <xdr:col>37</xdr:col>
      <xdr:colOff>187643</xdr:colOff>
      <xdr:row>140</xdr:row>
      <xdr:rowOff>37147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2648EC0-C49A-4C0E-8EB8-0A314FC09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149</xdr:row>
      <xdr:rowOff>0</xdr:rowOff>
    </xdr:from>
    <xdr:to>
      <xdr:col>13</xdr:col>
      <xdr:colOff>304800</xdr:colOff>
      <xdr:row>164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64476E-7172-4E01-943B-AFF9EDEE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26</xdr:row>
          <xdr:rowOff>0</xdr:rowOff>
        </xdr:from>
        <xdr:to>
          <xdr:col>9</xdr:col>
          <xdr:colOff>495300</xdr:colOff>
          <xdr:row>26</xdr:row>
          <xdr:rowOff>0</xdr:rowOff>
        </xdr:to>
        <xdr:sp macro="" textlink="">
          <xdr:nvSpPr>
            <xdr:cNvPr id="10241" name="CommandButton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4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3</xdr:col>
      <xdr:colOff>326575</xdr:colOff>
      <xdr:row>150</xdr:row>
      <xdr:rowOff>1</xdr:rowOff>
    </xdr:from>
    <xdr:to>
      <xdr:col>8</xdr:col>
      <xdr:colOff>579668</xdr:colOff>
      <xdr:row>152</xdr:row>
      <xdr:rowOff>25088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718" y="24638001"/>
          <a:ext cx="3311071" cy="351658"/>
        </a:xfrm>
        <a:prstGeom prst="rect">
          <a:avLst/>
        </a:prstGeom>
      </xdr:spPr>
    </xdr:pic>
    <xdr:clientData/>
  </xdr:twoCellAnchor>
  <xdr:twoCellAnchor editAs="oneCell">
    <xdr:from>
      <xdr:col>5</xdr:col>
      <xdr:colOff>54429</xdr:colOff>
      <xdr:row>177</xdr:row>
      <xdr:rowOff>108857</xdr:rowOff>
    </xdr:from>
    <xdr:to>
      <xdr:col>11</xdr:col>
      <xdr:colOff>187562</xdr:colOff>
      <xdr:row>179</xdr:row>
      <xdr:rowOff>38339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93143" y="29155571"/>
          <a:ext cx="3779848" cy="2560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irko@re-vision.ne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D2273-44E9-461B-8438-1056497F6CAF}">
  <sheetPr codeName="Sheet19"/>
  <dimension ref="A1:C33"/>
  <sheetViews>
    <sheetView topLeftCell="A7" workbookViewId="0">
      <selection activeCell="B33" sqref="B33"/>
    </sheetView>
  </sheetViews>
  <sheetFormatPr defaultRowHeight="14.4" x14ac:dyDescent="0.3"/>
  <cols>
    <col min="1" max="1" width="3.5546875" customWidth="1"/>
    <col min="3" max="3" width="10.44140625" bestFit="1" customWidth="1"/>
  </cols>
  <sheetData>
    <row r="1" spans="1:3" x14ac:dyDescent="0.3">
      <c r="A1" s="7" t="s">
        <v>189</v>
      </c>
    </row>
    <row r="3" spans="1:3" x14ac:dyDescent="0.3">
      <c r="A3" t="s">
        <v>181</v>
      </c>
      <c r="C3" t="s">
        <v>182</v>
      </c>
    </row>
    <row r="4" spans="1:3" x14ac:dyDescent="0.3">
      <c r="A4" t="s">
        <v>183</v>
      </c>
      <c r="C4" t="s">
        <v>184</v>
      </c>
    </row>
    <row r="5" spans="1:3" x14ac:dyDescent="0.3">
      <c r="A5" t="s">
        <v>185</v>
      </c>
      <c r="C5" s="175" t="s">
        <v>186</v>
      </c>
    </row>
    <row r="6" spans="1:3" x14ac:dyDescent="0.3">
      <c r="A6" t="s">
        <v>187</v>
      </c>
      <c r="C6" s="176">
        <v>45751</v>
      </c>
    </row>
    <row r="8" spans="1:3" x14ac:dyDescent="0.3">
      <c r="A8" t="s">
        <v>188</v>
      </c>
    </row>
    <row r="31" spans="1:2" x14ac:dyDescent="0.3">
      <c r="A31" t="s">
        <v>138</v>
      </c>
    </row>
    <row r="32" spans="1:2" x14ac:dyDescent="0.3">
      <c r="B32" t="s">
        <v>208</v>
      </c>
    </row>
    <row r="33" spans="2:2" x14ac:dyDescent="0.3">
      <c r="B33" t="s">
        <v>209</v>
      </c>
    </row>
  </sheetData>
  <hyperlinks>
    <hyperlink ref="C5" r:id="rId1" xr:uid="{6D954EDA-373F-4ED2-93C5-45DE7E165A16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C87"/>
  <sheetViews>
    <sheetView tabSelected="1" zoomScale="80" zoomScaleNormal="80" workbookViewId="0">
      <selection activeCell="K24" sqref="K24"/>
    </sheetView>
  </sheetViews>
  <sheetFormatPr defaultRowHeight="14.4" x14ac:dyDescent="0.3"/>
  <cols>
    <col min="1" max="1" width="2.88671875" customWidth="1"/>
    <col min="2" max="2" width="3.44140625" customWidth="1"/>
    <col min="3" max="3" width="7.44140625" customWidth="1"/>
    <col min="4" max="4" width="48.6640625" customWidth="1"/>
    <col min="5" max="5" width="21.33203125" customWidth="1"/>
    <col min="6" max="6" width="20.44140625" bestFit="1" customWidth="1"/>
    <col min="7" max="7" width="19.88671875" bestFit="1" customWidth="1"/>
    <col min="8" max="8" width="14" bestFit="1" customWidth="1"/>
    <col min="9" max="9" width="12.5546875" bestFit="1" customWidth="1"/>
    <col min="11" max="11" width="31.77734375" bestFit="1" customWidth="1"/>
    <col min="12" max="12" width="16" bestFit="1" customWidth="1"/>
    <col min="13" max="13" width="16.5546875" bestFit="1" customWidth="1"/>
    <col min="14" max="14" width="11.6640625" customWidth="1"/>
    <col min="15" max="15" width="10.88671875" bestFit="1" customWidth="1"/>
    <col min="17" max="17" width="12" bestFit="1" customWidth="1"/>
    <col min="18" max="18" width="10.6640625" customWidth="1"/>
    <col min="27" max="27" width="8.88671875" customWidth="1"/>
    <col min="28" max="28" width="3.5546875" customWidth="1"/>
    <col min="29" max="30" width="8.88671875" customWidth="1"/>
  </cols>
  <sheetData>
    <row r="1" spans="1:29" x14ac:dyDescent="0.3">
      <c r="A1" s="7" t="s">
        <v>66</v>
      </c>
    </row>
    <row r="3" spans="1:29" x14ac:dyDescent="0.3">
      <c r="A3" s="7" t="s">
        <v>19</v>
      </c>
    </row>
    <row r="4" spans="1:29" x14ac:dyDescent="0.3">
      <c r="B4" t="s">
        <v>279</v>
      </c>
      <c r="E4">
        <v>2</v>
      </c>
      <c r="H4" s="9"/>
    </row>
    <row r="5" spans="1:29" x14ac:dyDescent="0.3">
      <c r="B5" t="s">
        <v>92</v>
      </c>
      <c r="E5" s="11">
        <v>11</v>
      </c>
      <c r="F5" t="s">
        <v>316</v>
      </c>
      <c r="H5" s="9"/>
      <c r="U5" s="165"/>
    </row>
    <row r="6" spans="1:29" x14ac:dyDescent="0.3">
      <c r="B6" t="s">
        <v>23</v>
      </c>
      <c r="E6">
        <f ca="1">'Compute Performance'!S4</f>
        <v>11</v>
      </c>
      <c r="F6" t="s">
        <v>4</v>
      </c>
      <c r="H6" s="36"/>
    </row>
    <row r="7" spans="1:29" x14ac:dyDescent="0.3">
      <c r="B7" t="s">
        <v>68</v>
      </c>
      <c r="E7">
        <f ca="1">'Compute Performance'!S5</f>
        <v>3.3</v>
      </c>
      <c r="F7" t="s">
        <v>4</v>
      </c>
    </row>
    <row r="8" spans="1:29" x14ac:dyDescent="0.3">
      <c r="B8" t="s">
        <v>124</v>
      </c>
      <c r="E8" s="6">
        <f ca="1">(E6/2)^2*PI()*E7</f>
        <v>313.60948664460108</v>
      </c>
      <c r="F8" t="s">
        <v>5</v>
      </c>
      <c r="G8" s="32"/>
      <c r="H8" s="183"/>
    </row>
    <row r="9" spans="1:29" x14ac:dyDescent="0.3">
      <c r="B9" t="s">
        <v>317</v>
      </c>
      <c r="E9" s="173">
        <v>0.7</v>
      </c>
      <c r="G9" s="32"/>
      <c r="H9" s="183"/>
    </row>
    <row r="10" spans="1:29" x14ac:dyDescent="0.3">
      <c r="B10" t="s">
        <v>318</v>
      </c>
      <c r="E10" s="6">
        <f ca="1">E8*E9</f>
        <v>219.52664065122073</v>
      </c>
      <c r="G10" s="32"/>
      <c r="H10" s="183"/>
    </row>
    <row r="11" spans="1:29" x14ac:dyDescent="0.3">
      <c r="B11" t="s">
        <v>10</v>
      </c>
      <c r="E11" s="6">
        <f ca="1">'Cost Funs'!E18</f>
        <v>53.868701520943134</v>
      </c>
      <c r="F11" t="s">
        <v>9</v>
      </c>
      <c r="AC11" t="s">
        <v>272</v>
      </c>
    </row>
    <row r="12" spans="1:29" x14ac:dyDescent="0.3">
      <c r="B12" t="s">
        <v>13</v>
      </c>
      <c r="E12" s="32">
        <v>1025</v>
      </c>
      <c r="F12" t="s">
        <v>8</v>
      </c>
      <c r="AC12" t="s">
        <v>273</v>
      </c>
    </row>
    <row r="13" spans="1:29" x14ac:dyDescent="0.3">
      <c r="B13" t="s">
        <v>14</v>
      </c>
      <c r="E13" s="11">
        <v>60</v>
      </c>
      <c r="F13" t="s">
        <v>4</v>
      </c>
      <c r="AC13" t="s">
        <v>274</v>
      </c>
    </row>
    <row r="15" spans="1:29" x14ac:dyDescent="0.3">
      <c r="A15" s="7" t="s">
        <v>20</v>
      </c>
    </row>
    <row r="16" spans="1:29" x14ac:dyDescent="0.3">
      <c r="A16" s="7"/>
      <c r="B16" t="s">
        <v>25</v>
      </c>
      <c r="E16">
        <v>1</v>
      </c>
    </row>
    <row r="17" spans="1:17" x14ac:dyDescent="0.3">
      <c r="B17" t="s">
        <v>22</v>
      </c>
      <c r="E17" s="32">
        <v>5000</v>
      </c>
      <c r="F17" t="s">
        <v>4</v>
      </c>
    </row>
    <row r="18" spans="1:17" x14ac:dyDescent="0.3">
      <c r="A18" s="7"/>
      <c r="B18" t="s">
        <v>21</v>
      </c>
      <c r="E18" s="182">
        <v>389</v>
      </c>
    </row>
    <row r="20" spans="1:17" x14ac:dyDescent="0.3">
      <c r="A20" s="7" t="s">
        <v>27</v>
      </c>
    </row>
    <row r="21" spans="1:17" x14ac:dyDescent="0.3">
      <c r="B21" t="s">
        <v>28</v>
      </c>
      <c r="E21" s="12">
        <v>7.0000000000000007E-2</v>
      </c>
    </row>
    <row r="22" spans="1:17" x14ac:dyDescent="0.3">
      <c r="B22" t="s">
        <v>85</v>
      </c>
      <c r="E22" s="12">
        <v>0.08</v>
      </c>
    </row>
    <row r="23" spans="1:17" x14ac:dyDescent="0.3">
      <c r="B23" t="s">
        <v>137</v>
      </c>
      <c r="E23" s="138">
        <v>0.02</v>
      </c>
    </row>
    <row r="24" spans="1:17" x14ac:dyDescent="0.3">
      <c r="B24" t="s">
        <v>139</v>
      </c>
      <c r="E24" s="190">
        <f ca="1">G24</f>
        <v>4.6778534251972252E-2</v>
      </c>
      <c r="F24" s="192" t="s">
        <v>294</v>
      </c>
      <c r="G24" s="193">
        <f ca="1">'Cost Funs'!G180/IO!F58</f>
        <v>4.6778534251972252E-2</v>
      </c>
    </row>
    <row r="25" spans="1:17" x14ac:dyDescent="0.3">
      <c r="E25" s="88"/>
      <c r="M25" s="32"/>
    </row>
    <row r="26" spans="1:17" x14ac:dyDescent="0.3">
      <c r="A26" s="7" t="s">
        <v>18</v>
      </c>
      <c r="E26" s="109" t="s">
        <v>133</v>
      </c>
      <c r="F26" s="24"/>
      <c r="G26" s="24" t="s">
        <v>134</v>
      </c>
      <c r="H26" s="2"/>
      <c r="M26" s="1"/>
    </row>
    <row r="27" spans="1:17" x14ac:dyDescent="0.3">
      <c r="A27" s="7"/>
      <c r="B27" t="s">
        <v>321</v>
      </c>
      <c r="E27" s="129">
        <v>1</v>
      </c>
      <c r="F27" s="24"/>
      <c r="G27" s="24"/>
      <c r="H27" s="2"/>
      <c r="M27" s="32"/>
    </row>
    <row r="28" spans="1:17" x14ac:dyDescent="0.3">
      <c r="A28" s="7"/>
      <c r="B28" t="s">
        <v>319</v>
      </c>
      <c r="E28" s="191">
        <v>0.65</v>
      </c>
      <c r="F28" s="24"/>
      <c r="G28" s="24"/>
      <c r="H28" s="2"/>
      <c r="M28" s="32"/>
    </row>
    <row r="29" spans="1:17" x14ac:dyDescent="0.3">
      <c r="A29" s="7"/>
      <c r="B29" t="s">
        <v>16</v>
      </c>
      <c r="E29" s="178">
        <v>202</v>
      </c>
      <c r="F29" s="2" t="s">
        <v>17</v>
      </c>
      <c r="G29" s="3">
        <f>E29*E18</f>
        <v>78578</v>
      </c>
      <c r="H29" s="2" t="s">
        <v>17</v>
      </c>
      <c r="M29" s="32"/>
      <c r="Q29" s="88"/>
    </row>
    <row r="30" spans="1:17" x14ac:dyDescent="0.3">
      <c r="A30" s="7"/>
      <c r="B30" t="s">
        <v>99</v>
      </c>
      <c r="E30" s="93">
        <v>0.8</v>
      </c>
      <c r="F30" s="2"/>
      <c r="G30" s="92">
        <f>E30</f>
        <v>0.8</v>
      </c>
      <c r="H30" s="2"/>
      <c r="M30" s="32"/>
      <c r="Q30" s="9"/>
    </row>
    <row r="31" spans="1:17" x14ac:dyDescent="0.3">
      <c r="A31" s="7"/>
      <c r="B31" t="s">
        <v>135</v>
      </c>
      <c r="E31" s="93">
        <v>0.95</v>
      </c>
      <c r="F31" s="2"/>
      <c r="G31" s="92">
        <f>E31</f>
        <v>0.95</v>
      </c>
      <c r="H31" s="2"/>
      <c r="M31" s="32"/>
      <c r="Q31" s="9"/>
    </row>
    <row r="32" spans="1:17" x14ac:dyDescent="0.3">
      <c r="A32" s="7"/>
      <c r="B32" t="s">
        <v>107</v>
      </c>
      <c r="E32" s="93">
        <v>0.98</v>
      </c>
      <c r="F32" s="2"/>
      <c r="G32" s="92">
        <f>E32</f>
        <v>0.98</v>
      </c>
      <c r="H32" s="2"/>
      <c r="M32" s="32"/>
      <c r="Q32" s="88"/>
    </row>
    <row r="33" spans="1:17" x14ac:dyDescent="0.3">
      <c r="A33" s="7"/>
      <c r="B33" t="s">
        <v>163</v>
      </c>
      <c r="E33" s="184">
        <f ca="1">IF(E27=1,'Compute Performance'!Z19,'Compute Performance'!S19)</f>
        <v>152.68082079024549</v>
      </c>
      <c r="F33" s="2"/>
      <c r="G33" s="92"/>
      <c r="H33" s="2"/>
      <c r="M33" s="183"/>
    </row>
    <row r="34" spans="1:17" x14ac:dyDescent="0.3">
      <c r="A34" s="7"/>
      <c r="B34" t="s">
        <v>109</v>
      </c>
      <c r="E34" s="184">
        <f ca="1">IF(E27=1,'Compute Performance'!Z20,'Compute Performance'!S20)</f>
        <v>122.14465663219639</v>
      </c>
      <c r="F34" s="2"/>
      <c r="G34" s="92"/>
      <c r="H34" s="2"/>
      <c r="Q34" s="179"/>
    </row>
    <row r="35" spans="1:17" x14ac:dyDescent="0.3">
      <c r="B35" t="s">
        <v>162</v>
      </c>
      <c r="E35" s="3">
        <f ca="1">IF(E27=1,'Compute Performance'!Z23,'Compute Performance'!S23)</f>
        <v>996.15807584327547</v>
      </c>
      <c r="F35" s="2" t="s">
        <v>69</v>
      </c>
      <c r="G35" s="3">
        <f ca="1">E35*E18</f>
        <v>387505.49150303414</v>
      </c>
      <c r="H35" s="2" t="s">
        <v>69</v>
      </c>
      <c r="K35" s="32"/>
      <c r="L35" s="32"/>
      <c r="Q35" s="180"/>
    </row>
    <row r="36" spans="1:17" x14ac:dyDescent="0.3">
      <c r="B36" t="s">
        <v>164</v>
      </c>
      <c r="E36" s="3">
        <f ca="1">IF(E27=1,'Compute Performance'!Z24,'Compute Performance'!S24)</f>
        <v>93.957428178612602</v>
      </c>
      <c r="F36" s="2"/>
      <c r="G36" s="3"/>
      <c r="H36" s="2"/>
      <c r="K36" s="32"/>
      <c r="L36" s="32"/>
      <c r="Q36" s="180"/>
    </row>
    <row r="37" spans="1:17" x14ac:dyDescent="0.3">
      <c r="B37" t="s">
        <v>70</v>
      </c>
      <c r="E37" s="90">
        <f ca="1">IF(E27=1,'Compute Performance'!Z22,'Compute Performance'!S22)</f>
        <v>0.60467651798117028</v>
      </c>
      <c r="F37" s="2"/>
      <c r="G37" s="90">
        <f ca="1">E37</f>
        <v>0.60467651798117028</v>
      </c>
      <c r="H37" s="2"/>
      <c r="K37" s="32"/>
      <c r="L37" s="183"/>
    </row>
    <row r="38" spans="1:17" x14ac:dyDescent="0.3">
      <c r="B38" t="s">
        <v>115</v>
      </c>
      <c r="E38" s="91">
        <f ca="1">IF(E27=1,'Compute Performance'!Z26,'Compute Performance'!S26)</f>
        <v>0.48685013461748849</v>
      </c>
      <c r="F38" s="2" t="s">
        <v>132</v>
      </c>
      <c r="G38" s="91">
        <f ca="1">E38</f>
        <v>0.48685013461748849</v>
      </c>
      <c r="H38" s="2"/>
      <c r="K38" s="32"/>
      <c r="L38" s="32"/>
      <c r="Q38" s="36"/>
    </row>
    <row r="39" spans="1:17" x14ac:dyDescent="0.3">
      <c r="K39" s="32"/>
      <c r="L39" s="32"/>
    </row>
    <row r="40" spans="1:17" ht="15" thickBot="1" x14ac:dyDescent="0.35">
      <c r="A40" s="7" t="s">
        <v>29</v>
      </c>
      <c r="G40" s="36"/>
      <c r="H40" s="36"/>
    </row>
    <row r="41" spans="1:17" x14ac:dyDescent="0.3">
      <c r="A41" s="7"/>
      <c r="C41" s="14"/>
      <c r="D41" s="15"/>
      <c r="E41" s="25" t="s">
        <v>3</v>
      </c>
      <c r="F41" s="15"/>
      <c r="G41" s="15"/>
      <c r="H41" s="119" t="s">
        <v>27</v>
      </c>
      <c r="I41" s="120"/>
      <c r="J41" s="121"/>
      <c r="K41" s="100" t="s">
        <v>11</v>
      </c>
    </row>
    <row r="42" spans="1:17" ht="15" thickBot="1" x14ac:dyDescent="0.35">
      <c r="C42" s="16"/>
      <c r="D42" s="13"/>
      <c r="E42" s="21" t="s">
        <v>52</v>
      </c>
      <c r="F42" s="18" t="s">
        <v>53</v>
      </c>
      <c r="G42" s="19" t="s">
        <v>49</v>
      </c>
      <c r="H42" s="149" t="s">
        <v>54</v>
      </c>
      <c r="I42" s="150" t="s">
        <v>55</v>
      </c>
      <c r="J42" s="151" t="s">
        <v>146</v>
      </c>
      <c r="K42" s="98" t="s">
        <v>136</v>
      </c>
    </row>
    <row r="43" spans="1:17" x14ac:dyDescent="0.3">
      <c r="C43" s="132">
        <v>1.1000000000000001</v>
      </c>
      <c r="D43" s="23" t="s">
        <v>30</v>
      </c>
      <c r="E43" s="135">
        <f t="shared" ref="E43:J43" ca="1" si="0">SUM(E44:E46)</f>
        <v>438795881.77299064</v>
      </c>
      <c r="F43" s="135">
        <f t="shared" ca="1" si="0"/>
        <v>1128009.9788508757</v>
      </c>
      <c r="G43" s="148">
        <f ca="1">SUM(G44:G46)</f>
        <v>5584.2078160934443</v>
      </c>
      <c r="H43" s="147">
        <f t="shared" ca="1" si="0"/>
        <v>79.265229519641139</v>
      </c>
      <c r="I43" s="152">
        <f t="shared" ca="1" si="0"/>
        <v>0.70101519101036591</v>
      </c>
      <c r="J43" s="153">
        <f t="shared" ca="1" si="0"/>
        <v>0.28494786381086418</v>
      </c>
      <c r="K43" s="97"/>
    </row>
    <row r="44" spans="1:17" x14ac:dyDescent="0.3">
      <c r="C44" s="133" t="s">
        <v>31</v>
      </c>
      <c r="D44" s="13" t="s">
        <v>32</v>
      </c>
      <c r="E44" s="30">
        <f ca="1">F44*E18</f>
        <v>60331865.028253287</v>
      </c>
      <c r="F44" s="8">
        <f ca="1">'Cost Funs'!E17*K44</f>
        <v>155094.76871016269</v>
      </c>
      <c r="G44" s="115">
        <f ca="1">F44/E29</f>
        <v>767.79588470377576</v>
      </c>
      <c r="H44" s="30">
        <f ca="1">(F44*$E$21)/$E$35</f>
        <v>10.898505039494809</v>
      </c>
      <c r="I44" s="92">
        <f ca="1">H44/$H$58</f>
        <v>9.6385485013902206E-2</v>
      </c>
      <c r="J44" s="94">
        <f ca="1">H44/$H$70</f>
        <v>3.9178663186315139E-2</v>
      </c>
      <c r="K44" s="169">
        <v>1</v>
      </c>
    </row>
    <row r="45" spans="1:17" x14ac:dyDescent="0.3">
      <c r="C45" s="133" t="s">
        <v>33</v>
      </c>
      <c r="D45" s="13" t="s">
        <v>34</v>
      </c>
      <c r="E45" s="30">
        <f>F45*E18</f>
        <v>288282325.36875719</v>
      </c>
      <c r="F45" s="8">
        <f>'Cost Funs'!D52*K45</f>
        <v>741085.66932842461</v>
      </c>
      <c r="G45" s="115">
        <f>F45/E29</f>
        <v>3668.7409372694287</v>
      </c>
      <c r="H45" s="30">
        <f ca="1">(F45*$E$21)/$E$35</f>
        <v>52.07606916108697</v>
      </c>
      <c r="I45" s="92">
        <f ca="1">H45/$H$58</f>
        <v>0.46055648600604321</v>
      </c>
      <c r="J45" s="94">
        <f ca="1">H45/$H$70</f>
        <v>0.18720648073619223</v>
      </c>
      <c r="K45" s="169">
        <v>1</v>
      </c>
      <c r="M45" s="36"/>
    </row>
    <row r="46" spans="1:17" x14ac:dyDescent="0.3">
      <c r="C46" s="133" t="s">
        <v>35</v>
      </c>
      <c r="D46" s="13" t="s">
        <v>36</v>
      </c>
      <c r="E46" s="30">
        <f ca="1">F46*E18</f>
        <v>90181691.375980198</v>
      </c>
      <c r="F46" s="8">
        <f ca="1">'Cost Funs'!E78*K46</f>
        <v>231829.54081228841</v>
      </c>
      <c r="G46" s="115">
        <f ca="1">F46/E29</f>
        <v>1147.6709941202396</v>
      </c>
      <c r="H46" s="30">
        <f ca="1">(F46*$E$21)/$E$35</f>
        <v>16.290655319059358</v>
      </c>
      <c r="I46" s="92">
        <f ca="1">H46/$H$58</f>
        <v>0.14407321999042047</v>
      </c>
      <c r="J46" s="94">
        <f ca="1">H46/$H$70</f>
        <v>5.8562719888356825E-2</v>
      </c>
      <c r="K46" s="169">
        <v>1</v>
      </c>
    </row>
    <row r="47" spans="1:17" x14ac:dyDescent="0.3">
      <c r="C47" s="132">
        <v>1.2</v>
      </c>
      <c r="D47" s="23" t="s">
        <v>37</v>
      </c>
      <c r="E47" s="105">
        <f ca="1">SUM(E48:E51)</f>
        <v>130243637.17297831</v>
      </c>
      <c r="F47" s="105">
        <f ca="1">SUM(F48:F51)</f>
        <v>334816.54800251499</v>
      </c>
      <c r="G47" s="123">
        <f ca="1">SUM(G48:G51)</f>
        <v>1657.5076633787867</v>
      </c>
      <c r="H47" s="105">
        <f ca="1">SUM(H48:H51)</f>
        <v>23.527549420643751</v>
      </c>
      <c r="I47" s="124">
        <f ca="1">SUM(I48:I51)</f>
        <v>0.20807571808054326</v>
      </c>
      <c r="J47" s="108">
        <f ca="1">SUM(J48:J53)</f>
        <v>0.14929639688473179</v>
      </c>
      <c r="K47" s="99"/>
    </row>
    <row r="48" spans="1:17" x14ac:dyDescent="0.3">
      <c r="C48" s="133" t="s">
        <v>38</v>
      </c>
      <c r="D48" s="13" t="s">
        <v>51</v>
      </c>
      <c r="E48" s="38">
        <f>'Cost Funs'!E88*'Cost Funs'!E85*K48</f>
        <v>10196919.287132647</v>
      </c>
      <c r="F48" s="8">
        <f>E48/E18</f>
        <v>26213.160121163615</v>
      </c>
      <c r="G48" s="115">
        <f>F48/E29</f>
        <v>129.76811941170106</v>
      </c>
      <c r="H48" s="30">
        <f t="shared" ref="H48:H53" ca="1" si="1">(F48*$E$21)/$E$35</f>
        <v>1.8419980251910737</v>
      </c>
      <c r="I48" s="92">
        <f t="shared" ref="I48:I53" ca="1" si="2">H48/$H$58</f>
        <v>1.6290479511575421E-2</v>
      </c>
      <c r="J48" s="94">
        <f t="shared" ref="J48:J53" ca="1" si="3">H48/$H$70</f>
        <v>6.6217357295605692E-3</v>
      </c>
      <c r="K48" s="169">
        <v>1</v>
      </c>
    </row>
    <row r="49" spans="1:11" x14ac:dyDescent="0.3">
      <c r="C49" s="133" t="s">
        <v>39</v>
      </c>
      <c r="D49" s="13" t="s">
        <v>40</v>
      </c>
      <c r="E49" s="30">
        <f ca="1">2%*(E48+E46+E45+E44+E50+E51)*K49</f>
        <v>11157637.626391549</v>
      </c>
      <c r="F49" s="30">
        <f ca="1">2%*(F48+F46+F45+F44+F50+F51)*K49</f>
        <v>28682.873075556679</v>
      </c>
      <c r="G49" s="116">
        <f ca="1">2%*(G48+G46+G45+G44+G50+G51)*K49</f>
        <v>141.99442116612215</v>
      </c>
      <c r="H49" s="30">
        <f t="shared" ca="1" si="1"/>
        <v>2.0155446851036252</v>
      </c>
      <c r="I49" s="92">
        <f t="shared" ca="1" si="2"/>
        <v>1.7825311942959002E-2</v>
      </c>
      <c r="J49" s="94">
        <f t="shared" ca="1" si="3"/>
        <v>7.2456126843524361E-3</v>
      </c>
      <c r="K49" s="169">
        <v>1</v>
      </c>
    </row>
    <row r="50" spans="1:11" x14ac:dyDescent="0.3">
      <c r="C50" s="133" t="s">
        <v>41</v>
      </c>
      <c r="D50" s="13" t="s">
        <v>42</v>
      </c>
      <c r="E50" s="38">
        <f>'Cost Funs'!E109*K50</f>
        <v>9228751</v>
      </c>
      <c r="F50" s="8">
        <f>E50/E18</f>
        <v>23724.295629820052</v>
      </c>
      <c r="G50" s="117">
        <f>F50/E29</f>
        <v>117.4470080684161</v>
      </c>
      <c r="H50" s="30">
        <f t="shared" ca="1" si="1"/>
        <v>1.6671055873151202</v>
      </c>
      <c r="I50" s="92">
        <f t="shared" ca="1" si="2"/>
        <v>1.474374513022224E-2</v>
      </c>
      <c r="J50" s="94">
        <f t="shared" ca="1" si="3"/>
        <v>5.9930208835753118E-3</v>
      </c>
      <c r="K50" s="169">
        <v>1</v>
      </c>
    </row>
    <row r="51" spans="1:11" x14ac:dyDescent="0.3">
      <c r="C51" s="133" t="s">
        <v>43</v>
      </c>
      <c r="D51" s="13" t="s">
        <v>44</v>
      </c>
      <c r="E51" s="38">
        <f ca="1">(E52+E53)*K51</f>
        <v>99660329.259454116</v>
      </c>
      <c r="F51" s="39">
        <f ca="1">E51/$E$18</f>
        <v>256196.21917597461</v>
      </c>
      <c r="G51" s="115">
        <f ca="1">F51/$E$29</f>
        <v>1268.2981147325474</v>
      </c>
      <c r="H51" s="30">
        <f t="shared" ca="1" si="1"/>
        <v>18.002901123033933</v>
      </c>
      <c r="I51" s="92">
        <f t="shared" ca="1" si="2"/>
        <v>0.15921618149578659</v>
      </c>
      <c r="J51" s="94">
        <f t="shared" ca="1" si="3"/>
        <v>6.4718013793621729E-2</v>
      </c>
      <c r="K51" s="169">
        <v>1</v>
      </c>
    </row>
    <row r="52" spans="1:11" x14ac:dyDescent="0.3">
      <c r="C52" s="139" t="s">
        <v>165</v>
      </c>
      <c r="D52" s="140" t="s">
        <v>167</v>
      </c>
      <c r="E52" s="141">
        <f ca="1">'Cost Funs'!E142*K52</f>
        <v>74052493</v>
      </c>
      <c r="F52" s="142">
        <f ca="1">E52/$E$18</f>
        <v>190366.30591259641</v>
      </c>
      <c r="G52" s="143">
        <f ca="1">F52/$E$29</f>
        <v>942.40745501285346</v>
      </c>
      <c r="H52" s="144">
        <f t="shared" ca="1" si="1"/>
        <v>13.377034967669386</v>
      </c>
      <c r="I52" s="145">
        <f t="shared" ca="1" si="2"/>
        <v>0.11830540048697451</v>
      </c>
      <c r="J52" s="146">
        <f t="shared" ca="1" si="3"/>
        <v>4.8088645693205354E-2</v>
      </c>
      <c r="K52" s="170">
        <v>1</v>
      </c>
    </row>
    <row r="53" spans="1:11" x14ac:dyDescent="0.3">
      <c r="C53" s="139" t="s">
        <v>166</v>
      </c>
      <c r="D53" s="140" t="s">
        <v>83</v>
      </c>
      <c r="E53" s="141">
        <f>'Cost Funs'!E143*K53</f>
        <v>25607836.259454112</v>
      </c>
      <c r="F53" s="142">
        <f>E53/$E$18</f>
        <v>65829.913263378185</v>
      </c>
      <c r="G53" s="143">
        <f>F53/$E$29</f>
        <v>325.89065971969399</v>
      </c>
      <c r="H53" s="144">
        <f t="shared" ca="1" si="1"/>
        <v>4.6258661553645428</v>
      </c>
      <c r="I53" s="145">
        <f t="shared" ca="1" si="2"/>
        <v>4.0910781008812035E-2</v>
      </c>
      <c r="J53" s="146">
        <f t="shared" ca="1" si="3"/>
        <v>1.6629368100416361E-2</v>
      </c>
      <c r="K53" s="170">
        <v>1</v>
      </c>
    </row>
    <row r="54" spans="1:11" x14ac:dyDescent="0.3">
      <c r="C54" s="132">
        <v>1.3</v>
      </c>
      <c r="D54" s="23" t="s">
        <v>45</v>
      </c>
      <c r="E54" s="105">
        <f t="shared" ref="E54:J54" ca="1" si="4">SUM(E55:E56)</f>
        <v>56903951.894596897</v>
      </c>
      <c r="F54" s="105">
        <f t="shared" ca="1" si="4"/>
        <v>146282.65268533907</v>
      </c>
      <c r="G54" s="123">
        <f ca="1">SUM(G55:G56)</f>
        <v>724.17154794722308</v>
      </c>
      <c r="H54" s="105">
        <f t="shared" ca="1" si="4"/>
        <v>10.279277894028489</v>
      </c>
      <c r="I54" s="124">
        <f t="shared" ca="1" si="4"/>
        <v>9.0909090909090925E-2</v>
      </c>
      <c r="J54" s="108">
        <f t="shared" ca="1" si="4"/>
        <v>3.6952624690197423E-2</v>
      </c>
      <c r="K54" s="99"/>
    </row>
    <row r="55" spans="1:11" x14ac:dyDescent="0.3">
      <c r="C55" s="133" t="s">
        <v>46</v>
      </c>
      <c r="D55" s="13" t="s">
        <v>47</v>
      </c>
      <c r="E55" s="30">
        <f ca="1">E23*(E43+E48+E49+E50+E51)*K55</f>
        <v>11380790.378919378</v>
      </c>
      <c r="F55" s="30">
        <f ca="1">E55/E18</f>
        <v>29256.530537067811</v>
      </c>
      <c r="G55" s="116">
        <f ca="1">F55/E29</f>
        <v>144.83430958944462</v>
      </c>
      <c r="H55" s="30">
        <f ca="1">H56/4*K55</f>
        <v>2.0558555788056978</v>
      </c>
      <c r="I55" s="92">
        <f ca="1">I56/4*K55</f>
        <v>1.8181818181818184E-2</v>
      </c>
      <c r="J55" s="94">
        <f ca="1">H55/$H$70</f>
        <v>7.3905249380394845E-3</v>
      </c>
      <c r="K55" s="169">
        <v>1</v>
      </c>
    </row>
    <row r="56" spans="1:11" ht="15" thickBot="1" x14ac:dyDescent="0.35">
      <c r="C56" s="134" t="s">
        <v>48</v>
      </c>
      <c r="D56" s="19" t="s">
        <v>50</v>
      </c>
      <c r="E56" s="40">
        <f ca="1">(E51+E50+E49+E48+E46+E45+E44)*$E$22*K56</f>
        <v>45523161.515677519</v>
      </c>
      <c r="F56" s="40">
        <f ca="1">SUM(F51+F50+F49+F48+F46+F45+F44)*$E$22*K56</f>
        <v>117026.12214827126</v>
      </c>
      <c r="G56" s="118">
        <f ca="1">(G43+G47)*$E$22*K56</f>
        <v>579.33723835777846</v>
      </c>
      <c r="H56" s="40">
        <f ca="1">(F56*$E$21)/$E$35</f>
        <v>8.2234223152227912</v>
      </c>
      <c r="I56" s="122">
        <f ca="1">H56/$H$58</f>
        <v>7.2727272727272738E-2</v>
      </c>
      <c r="J56" s="96">
        <f ca="1">H56/$H$70</f>
        <v>2.9562099752157938E-2</v>
      </c>
      <c r="K56" s="171">
        <v>1</v>
      </c>
    </row>
    <row r="57" spans="1:11" x14ac:dyDescent="0.3">
      <c r="J57" s="154"/>
    </row>
    <row r="58" spans="1:11" x14ac:dyDescent="0.3">
      <c r="C58" s="27" t="s">
        <v>59</v>
      </c>
      <c r="D58" s="28"/>
      <c r="E58" s="37">
        <f ca="1">SUM(E44:E56)</f>
        <v>912751389.16759527</v>
      </c>
      <c r="F58" s="37">
        <f ca="1">SUM(F44:F56)</f>
        <v>2346404.5994025585</v>
      </c>
      <c r="G58" s="37">
        <f ca="1">G43+G47+G54</f>
        <v>7965.8870274194542</v>
      </c>
      <c r="H58" s="37">
        <f ca="1">H43+H47+H54</f>
        <v>113.07205683431337</v>
      </c>
      <c r="I58" s="101">
        <f ca="1">I43+I47+I54</f>
        <v>1</v>
      </c>
      <c r="J58" s="101">
        <f ca="1">J43+J47+J54</f>
        <v>0.47119688538579341</v>
      </c>
      <c r="K58" s="29"/>
    </row>
    <row r="59" spans="1:11" x14ac:dyDescent="0.3">
      <c r="F59" s="36"/>
      <c r="G59" s="36"/>
      <c r="H59" s="36"/>
      <c r="J59" s="155"/>
    </row>
    <row r="60" spans="1:11" ht="15" thickBot="1" x14ac:dyDescent="0.35">
      <c r="A60" s="7" t="s">
        <v>60</v>
      </c>
      <c r="J60" s="155"/>
    </row>
    <row r="61" spans="1:11" x14ac:dyDescent="0.3">
      <c r="C61" s="14"/>
      <c r="D61" s="15"/>
      <c r="E61" s="25" t="s">
        <v>3</v>
      </c>
      <c r="F61" s="26"/>
      <c r="G61" s="26"/>
      <c r="H61" s="158" t="s">
        <v>27</v>
      </c>
      <c r="I61" s="159"/>
      <c r="J61" s="160"/>
      <c r="K61" s="97" t="s">
        <v>11</v>
      </c>
    </row>
    <row r="62" spans="1:11" ht="15" thickBot="1" x14ac:dyDescent="0.35">
      <c r="C62" s="16"/>
      <c r="D62" s="13"/>
      <c r="E62" s="21" t="s">
        <v>315</v>
      </c>
      <c r="F62" s="18" t="s">
        <v>314</v>
      </c>
      <c r="G62" s="19" t="s">
        <v>284</v>
      </c>
      <c r="H62" s="21" t="s">
        <v>54</v>
      </c>
      <c r="I62" s="18" t="s">
        <v>55</v>
      </c>
      <c r="J62" s="96"/>
      <c r="K62" s="98" t="s">
        <v>136</v>
      </c>
    </row>
    <row r="63" spans="1:11" x14ac:dyDescent="0.3">
      <c r="C63" s="22">
        <v>2.1</v>
      </c>
      <c r="D63" s="23" t="s">
        <v>168</v>
      </c>
      <c r="E63" s="135">
        <f t="shared" ref="E63:J63" ca="1" si="5">E64+E65</f>
        <v>21280931.235622182</v>
      </c>
      <c r="F63" s="135">
        <f t="shared" ca="1" si="5"/>
        <v>54706.764101856512</v>
      </c>
      <c r="G63" s="161">
        <f t="shared" ca="1" si="5"/>
        <v>197.82601833950463</v>
      </c>
      <c r="H63" s="135">
        <f ca="1">H64+H65</f>
        <v>54.91775394738</v>
      </c>
      <c r="I63" s="136">
        <f t="shared" ca="1" si="5"/>
        <v>0.33262835437247695</v>
      </c>
      <c r="J63" s="162">
        <f t="shared" ca="1" si="5"/>
        <v>0.19742195622759151</v>
      </c>
      <c r="K63" s="163"/>
    </row>
    <row r="64" spans="1:11" x14ac:dyDescent="0.3">
      <c r="C64" s="17" t="s">
        <v>61</v>
      </c>
      <c r="D64" s="13" t="s">
        <v>67</v>
      </c>
      <c r="E64" s="38">
        <f>'Cost Funs'!E156*K64</f>
        <v>3025903.4522702764</v>
      </c>
      <c r="F64" s="39">
        <f>E64/E18</f>
        <v>7778.6721138053381</v>
      </c>
      <c r="G64" s="31">
        <f>F64/E29</f>
        <v>38.508277791115532</v>
      </c>
      <c r="H64" s="30">
        <f ca="1">F64/$E$35</f>
        <v>7.8086724410887056</v>
      </c>
      <c r="I64" s="125">
        <f ca="1">H64/$H$68</f>
        <v>4.7295923034320744E-2</v>
      </c>
      <c r="J64" s="94">
        <f ca="1">H64/$H$70</f>
        <v>2.8071129608419843E-2</v>
      </c>
      <c r="K64" s="169">
        <v>1</v>
      </c>
    </row>
    <row r="65" spans="1:12" x14ac:dyDescent="0.3">
      <c r="C65" s="17" t="s">
        <v>62</v>
      </c>
      <c r="D65" s="13" t="s">
        <v>63</v>
      </c>
      <c r="E65" s="30">
        <f ca="1">E58*$E$23*K65</f>
        <v>18255027.783351906</v>
      </c>
      <c r="F65" s="30">
        <f ca="1">F58*$E$23*K65</f>
        <v>46928.091988051172</v>
      </c>
      <c r="G65" s="157">
        <f ca="1">G58*$E$23*K65</f>
        <v>159.31774054838908</v>
      </c>
      <c r="H65" s="30">
        <f ca="1">F65/$E$35</f>
        <v>47.109081506291297</v>
      </c>
      <c r="I65" s="125">
        <f ca="1">H65/$H$68</f>
        <v>0.28533243133815622</v>
      </c>
      <c r="J65" s="94">
        <f ca="1">H65/$H$70</f>
        <v>0.16935082661917167</v>
      </c>
      <c r="K65" s="169">
        <v>1</v>
      </c>
    </row>
    <row r="66" spans="1:12" ht="15" thickBot="1" x14ac:dyDescent="0.35">
      <c r="C66" s="103">
        <v>2.2000000000000002</v>
      </c>
      <c r="D66" s="104" t="s">
        <v>64</v>
      </c>
      <c r="E66" s="107">
        <f ca="1">F66*E18</f>
        <v>42697172.121711612</v>
      </c>
      <c r="F66" s="107">
        <f ca="1">'Cost Funs'!G180*K66</f>
        <v>109761.36792213781</v>
      </c>
      <c r="G66" s="107">
        <f ca="1">F66/E29</f>
        <v>543.37310852543476</v>
      </c>
      <c r="H66" s="126">
        <f ca="1">F66/$E$35</f>
        <v>110.18468914105</v>
      </c>
      <c r="I66" s="127">
        <f ca="1">H66/$H$68</f>
        <v>0.66737164562752305</v>
      </c>
      <c r="J66" s="128">
        <f ca="1">H66/$H$70</f>
        <v>0.39609917218023677</v>
      </c>
      <c r="K66" s="171">
        <v>1</v>
      </c>
    </row>
    <row r="68" spans="1:12" x14ac:dyDescent="0.3">
      <c r="C68" s="27" t="s">
        <v>65</v>
      </c>
      <c r="D68" s="29"/>
      <c r="E68" s="37">
        <f ca="1">E66+E63</f>
        <v>63978103.357333794</v>
      </c>
      <c r="F68" s="37">
        <f ca="1">F66+F63</f>
        <v>164468.13202399432</v>
      </c>
      <c r="G68" s="37">
        <f ca="1">G66+G63</f>
        <v>741.19912686493944</v>
      </c>
      <c r="H68" s="37">
        <f ca="1">H66+H63</f>
        <v>165.10244308842999</v>
      </c>
      <c r="I68" s="101">
        <f ca="1">I63+I66</f>
        <v>1</v>
      </c>
      <c r="J68" s="101">
        <f ca="1">J63+J66</f>
        <v>0.59352112840782834</v>
      </c>
    </row>
    <row r="70" spans="1:12" x14ac:dyDescent="0.3">
      <c r="C70" s="28" t="s">
        <v>54</v>
      </c>
      <c r="D70" s="28"/>
      <c r="E70" s="28"/>
      <c r="F70" s="28"/>
      <c r="G70" s="28"/>
      <c r="H70" s="37">
        <f ca="1">H68+H58</f>
        <v>278.17449992274339</v>
      </c>
      <c r="I70" s="28"/>
      <c r="J70" s="28"/>
      <c r="K70" s="7"/>
      <c r="L70" s="7"/>
    </row>
    <row r="72" spans="1:12" x14ac:dyDescent="0.3">
      <c r="C72" s="28" t="s">
        <v>169</v>
      </c>
      <c r="D72" s="28"/>
      <c r="E72" s="37">
        <f t="shared" ref="E72:J72" ca="1" si="6">E43+E52+E66+E65+E55+E56</f>
        <v>630704526.57265103</v>
      </c>
      <c r="F72" s="37">
        <f t="shared" ca="1" si="6"/>
        <v>1621348.3973590001</v>
      </c>
      <c r="G72" s="37">
        <f t="shared" ca="1" si="6"/>
        <v>7953.4776681273452</v>
      </c>
      <c r="H72" s="37">
        <f t="shared" ca="1" si="6"/>
        <v>260.21531302868027</v>
      </c>
      <c r="I72" s="137">
        <f t="shared" ca="1" si="6"/>
        <v>1.8629337593721105</v>
      </c>
      <c r="J72" s="137">
        <f t="shared" ca="1" si="6"/>
        <v>0.93543913299367543</v>
      </c>
    </row>
    <row r="74" spans="1:12" x14ac:dyDescent="0.3">
      <c r="A74" s="7" t="s">
        <v>170</v>
      </c>
    </row>
    <row r="75" spans="1:12" x14ac:dyDescent="0.3">
      <c r="D75" s="24" t="s">
        <v>180</v>
      </c>
      <c r="E75" s="164" t="s">
        <v>172</v>
      </c>
      <c r="F75" s="164" t="s">
        <v>143</v>
      </c>
      <c r="G75" s="2"/>
      <c r="I75" s="24" t="s">
        <v>29</v>
      </c>
      <c r="J75" s="164" t="s">
        <v>172</v>
      </c>
      <c r="K75" s="174"/>
    </row>
    <row r="76" spans="1:12" x14ac:dyDescent="0.3">
      <c r="D76" s="2" t="s">
        <v>32</v>
      </c>
      <c r="E76" s="92">
        <f ca="1">F76/$F$87</f>
        <v>3.9178663186315139E-2</v>
      </c>
      <c r="F76" s="39">
        <f ca="1">H44</f>
        <v>10.898505039494809</v>
      </c>
      <c r="G76" s="2"/>
      <c r="I76" s="2" t="s">
        <v>32</v>
      </c>
      <c r="J76" s="92">
        <f ca="1">E76/(SUM($E$76:$E$83))</f>
        <v>9.6385485013902206E-2</v>
      </c>
      <c r="K76" s="9"/>
    </row>
    <row r="77" spans="1:12" x14ac:dyDescent="0.3">
      <c r="D77" s="2" t="s">
        <v>34</v>
      </c>
      <c r="E77" s="92">
        <f t="shared" ref="E77:E85" ca="1" si="7">F77/$F$87</f>
        <v>0.18720648073619223</v>
      </c>
      <c r="F77" s="39">
        <f ca="1">H45</f>
        <v>52.07606916108697</v>
      </c>
      <c r="G77" s="2"/>
      <c r="I77" s="2" t="s">
        <v>34</v>
      </c>
      <c r="J77" s="92">
        <f t="shared" ref="J77:J83" ca="1" si="8">E77/(SUM($E$76:$E$83))</f>
        <v>0.46055648600604315</v>
      </c>
      <c r="K77" s="9"/>
    </row>
    <row r="78" spans="1:12" x14ac:dyDescent="0.3">
      <c r="D78" s="2" t="s">
        <v>36</v>
      </c>
      <c r="E78" s="92">
        <f t="shared" ca="1" si="7"/>
        <v>5.8562719888356825E-2</v>
      </c>
      <c r="F78" s="39">
        <f ca="1">H46</f>
        <v>16.290655319059358</v>
      </c>
      <c r="G78" s="2"/>
      <c r="I78" s="2" t="s">
        <v>36</v>
      </c>
      <c r="J78" s="92">
        <f t="shared" ca="1" si="8"/>
        <v>0.14407321999042047</v>
      </c>
      <c r="K78" s="9"/>
    </row>
    <row r="79" spans="1:12" x14ac:dyDescent="0.3">
      <c r="D79" s="2" t="s">
        <v>84</v>
      </c>
      <c r="E79" s="92">
        <f t="shared" ca="1" si="7"/>
        <v>4.8088645693205354E-2</v>
      </c>
      <c r="F79" s="39">
        <f ca="1">H52</f>
        <v>13.377034967669386</v>
      </c>
      <c r="G79" s="2"/>
      <c r="I79" s="2" t="s">
        <v>84</v>
      </c>
      <c r="J79" s="92">
        <f t="shared" ca="1" si="8"/>
        <v>0.11830540048697451</v>
      </c>
      <c r="K79" s="9"/>
    </row>
    <row r="80" spans="1:12" x14ac:dyDescent="0.3">
      <c r="D80" s="2" t="s">
        <v>51</v>
      </c>
      <c r="E80" s="92">
        <f t="shared" ca="1" si="7"/>
        <v>6.6217357295605692E-3</v>
      </c>
      <c r="F80" s="39">
        <f ca="1">H48</f>
        <v>1.8419980251910737</v>
      </c>
      <c r="G80" s="90"/>
      <c r="I80" s="2" t="s">
        <v>51</v>
      </c>
      <c r="J80" s="92">
        <f t="shared" ca="1" si="8"/>
        <v>1.6290479511575421E-2</v>
      </c>
      <c r="K80" s="9"/>
      <c r="L80" s="88"/>
    </row>
    <row r="81" spans="4:11" x14ac:dyDescent="0.3">
      <c r="D81" s="2" t="s">
        <v>40</v>
      </c>
      <c r="E81" s="92">
        <f t="shared" ca="1" si="7"/>
        <v>7.2456126843524361E-3</v>
      </c>
      <c r="F81" s="39">
        <f ca="1">H49</f>
        <v>2.0155446851036252</v>
      </c>
      <c r="G81" s="2"/>
      <c r="I81" s="2" t="s">
        <v>40</v>
      </c>
      <c r="J81" s="92">
        <f t="shared" ca="1" si="8"/>
        <v>1.7825311942959002E-2</v>
      </c>
      <c r="K81" s="9"/>
    </row>
    <row r="82" spans="4:11" x14ac:dyDescent="0.3">
      <c r="D82" s="2" t="s">
        <v>83</v>
      </c>
      <c r="E82" s="92">
        <f ca="1">F82/$F$87</f>
        <v>2.2622388983991677E-2</v>
      </c>
      <c r="F82" s="39">
        <f ca="1">H53+H50</f>
        <v>6.2929717426796632</v>
      </c>
      <c r="G82" s="2"/>
      <c r="I82" s="2" t="s">
        <v>83</v>
      </c>
      <c r="J82" s="92">
        <f t="shared" ca="1" si="8"/>
        <v>5.565452613903428E-2</v>
      </c>
      <c r="K82" s="9"/>
    </row>
    <row r="83" spans="4:11" x14ac:dyDescent="0.3">
      <c r="D83" s="2" t="s">
        <v>171</v>
      </c>
      <c r="E83" s="92">
        <f t="shared" ca="1" si="7"/>
        <v>3.6952624690197423E-2</v>
      </c>
      <c r="F83" s="39">
        <f ca="1">H54</f>
        <v>10.279277894028489</v>
      </c>
      <c r="G83" s="2"/>
      <c r="I83" s="2" t="s">
        <v>171</v>
      </c>
      <c r="J83" s="92">
        <f t="shared" ca="1" si="8"/>
        <v>9.0909090909090912E-2</v>
      </c>
      <c r="K83" s="9"/>
    </row>
    <row r="84" spans="4:11" x14ac:dyDescent="0.3">
      <c r="D84" s="2" t="s">
        <v>168</v>
      </c>
      <c r="E84" s="92">
        <f t="shared" ca="1" si="7"/>
        <v>0.19742195622759148</v>
      </c>
      <c r="F84" s="39">
        <f ca="1">H63</f>
        <v>54.91775394738</v>
      </c>
      <c r="G84" s="2"/>
      <c r="I84" s="2"/>
      <c r="J84" s="92"/>
      <c r="K84" s="9"/>
    </row>
    <row r="85" spans="4:11" x14ac:dyDescent="0.3">
      <c r="D85" s="2" t="s">
        <v>174</v>
      </c>
      <c r="E85" s="92">
        <f t="shared" ca="1" si="7"/>
        <v>0.39609917218023677</v>
      </c>
      <c r="F85" s="39">
        <f ca="1">H66</f>
        <v>110.18468914105</v>
      </c>
      <c r="G85" s="2"/>
      <c r="I85" s="2"/>
      <c r="J85" s="92"/>
      <c r="K85" s="9"/>
    </row>
    <row r="86" spans="4:11" x14ac:dyDescent="0.3">
      <c r="D86" s="2"/>
      <c r="E86" s="2"/>
      <c r="F86" s="2"/>
      <c r="G86" s="2"/>
      <c r="I86" s="2"/>
      <c r="J86" s="2"/>
    </row>
    <row r="87" spans="4:11" x14ac:dyDescent="0.3">
      <c r="D87" s="2"/>
      <c r="E87" s="90">
        <f ca="1">SUM(E76:E85)</f>
        <v>1</v>
      </c>
      <c r="F87" s="39">
        <f ca="1">SUM(F76:F85)</f>
        <v>278.17449992274339</v>
      </c>
      <c r="G87" s="2" t="s">
        <v>173</v>
      </c>
      <c r="I87" s="2"/>
      <c r="J87" s="90">
        <f ca="1">SUM(J76:J85)</f>
        <v>1</v>
      </c>
      <c r="K87" s="9"/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Drop Down 2">
              <controlPr defaultSize="0" autoLine="0" autoPict="0">
                <anchor moveWithCells="1">
                  <from>
                    <xdr:col>4</xdr:col>
                    <xdr:colOff>198120</xdr:colOff>
                    <xdr:row>15</xdr:row>
                    <xdr:rowOff>0</xdr:rowOff>
                  </from>
                  <to>
                    <xdr:col>5</xdr:col>
                    <xdr:colOff>7620</xdr:colOff>
                    <xdr:row>16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8664D-9481-4F2D-B07B-2680B9EE91C0}">
  <sheetPr codeName="Sheet17"/>
  <dimension ref="A1:AC577"/>
  <sheetViews>
    <sheetView topLeftCell="A34" zoomScale="80" zoomScaleNormal="80" workbookViewId="0">
      <selection activeCell="L69" sqref="L69"/>
    </sheetView>
  </sheetViews>
  <sheetFormatPr defaultRowHeight="14.4" x14ac:dyDescent="0.3"/>
  <cols>
    <col min="1" max="1" width="2.88671875" customWidth="1"/>
    <col min="2" max="2" width="3.44140625" customWidth="1"/>
    <col min="3" max="3" width="7.44140625" customWidth="1"/>
    <col min="4" max="4" width="38.88671875" bestFit="1" customWidth="1"/>
    <col min="5" max="5" width="18.6640625" customWidth="1"/>
    <col min="6" max="6" width="16.88671875" bestFit="1" customWidth="1"/>
    <col min="7" max="7" width="13.44140625" bestFit="1" customWidth="1"/>
    <col min="8" max="8" width="14" bestFit="1" customWidth="1"/>
    <col min="9" max="9" width="12.5546875" bestFit="1" customWidth="1"/>
    <col min="13" max="13" width="12.44140625" customWidth="1"/>
    <col min="14" max="14" width="16.33203125" bestFit="1" customWidth="1"/>
    <col min="15" max="15" width="23.109375" bestFit="1" customWidth="1"/>
    <col min="16" max="16" width="14.5546875" bestFit="1" customWidth="1"/>
    <col min="17" max="18" width="15.33203125" bestFit="1" customWidth="1"/>
    <col min="19" max="19" width="17" bestFit="1" customWidth="1"/>
    <col min="20" max="20" width="19.109375" bestFit="1" customWidth="1"/>
    <col min="22" max="22" width="16.33203125" bestFit="1" customWidth="1"/>
    <col min="27" max="27" width="0" hidden="1" customWidth="1"/>
    <col min="28" max="28" width="3.5546875" hidden="1" customWidth="1"/>
    <col min="29" max="30" width="0" hidden="1" customWidth="1"/>
  </cols>
  <sheetData>
    <row r="1" spans="1:29" x14ac:dyDescent="0.3">
      <c r="A1" s="7" t="s">
        <v>66</v>
      </c>
    </row>
    <row r="3" spans="1:29" x14ac:dyDescent="0.3">
      <c r="A3" s="7" t="s">
        <v>19</v>
      </c>
      <c r="AB3" t="s">
        <v>76</v>
      </c>
    </row>
    <row r="4" spans="1:29" x14ac:dyDescent="0.3">
      <c r="B4" t="s">
        <v>75</v>
      </c>
      <c r="E4">
        <f>IO!$E$4</f>
        <v>2</v>
      </c>
      <c r="H4" s="9"/>
      <c r="AC4" t="s">
        <v>73</v>
      </c>
    </row>
    <row r="5" spans="1:29" x14ac:dyDescent="0.3">
      <c r="B5" t="s">
        <v>92</v>
      </c>
      <c r="E5" s="11">
        <f>IO!$E$5</f>
        <v>11</v>
      </c>
      <c r="H5" s="9"/>
      <c r="U5" s="165"/>
      <c r="AC5" t="s">
        <v>74</v>
      </c>
    </row>
    <row r="6" spans="1:29" x14ac:dyDescent="0.3">
      <c r="B6" t="s">
        <v>23</v>
      </c>
      <c r="E6">
        <f ca="1">'Compute Performance'!S4</f>
        <v>11</v>
      </c>
      <c r="F6" t="s">
        <v>4</v>
      </c>
      <c r="H6" s="36"/>
    </row>
    <row r="7" spans="1:29" x14ac:dyDescent="0.3">
      <c r="B7" t="s">
        <v>68</v>
      </c>
      <c r="E7">
        <f ca="1">'Compute Performance'!S5</f>
        <v>3.3</v>
      </c>
      <c r="F7" t="s">
        <v>4</v>
      </c>
    </row>
    <row r="8" spans="1:29" x14ac:dyDescent="0.3">
      <c r="B8" t="s">
        <v>124</v>
      </c>
      <c r="E8" s="5">
        <f ca="1">(E6/2)^2*PI()*E7</f>
        <v>313.60948664460108</v>
      </c>
      <c r="F8" t="s">
        <v>5</v>
      </c>
    </row>
    <row r="9" spans="1:29" x14ac:dyDescent="0.3">
      <c r="B9" t="s">
        <v>10</v>
      </c>
      <c r="E9" s="5" t="e">
        <f>#REF!</f>
        <v>#REF!</v>
      </c>
      <c r="F9" t="s">
        <v>9</v>
      </c>
    </row>
    <row r="10" spans="1:29" x14ac:dyDescent="0.3">
      <c r="B10" t="s">
        <v>12</v>
      </c>
      <c r="E10">
        <f ca="1">'Compute Performance'!S7</f>
        <v>0</v>
      </c>
      <c r="F10" t="s">
        <v>9</v>
      </c>
      <c r="AB10" t="s">
        <v>77</v>
      </c>
    </row>
    <row r="11" spans="1:29" x14ac:dyDescent="0.3">
      <c r="B11" t="s">
        <v>24</v>
      </c>
      <c r="E11" s="11" t="e">
        <f>IO!#REF!</f>
        <v>#REF!</v>
      </c>
      <c r="F11" t="s">
        <v>4</v>
      </c>
      <c r="AC11" t="s">
        <v>78</v>
      </c>
    </row>
    <row r="12" spans="1:29" x14ac:dyDescent="0.3">
      <c r="B12" t="s">
        <v>13</v>
      </c>
      <c r="E12" s="32">
        <v>1025</v>
      </c>
      <c r="F12" t="s">
        <v>8</v>
      </c>
      <c r="AC12" t="s">
        <v>79</v>
      </c>
    </row>
    <row r="13" spans="1:29" x14ac:dyDescent="0.3">
      <c r="B13" t="s">
        <v>72</v>
      </c>
      <c r="E13" s="33">
        <f ca="1">E10*1000/E12</f>
        <v>0</v>
      </c>
      <c r="F13" t="s">
        <v>5</v>
      </c>
      <c r="AC13" t="s">
        <v>80</v>
      </c>
    </row>
    <row r="14" spans="1:29" x14ac:dyDescent="0.3">
      <c r="B14" t="s">
        <v>71</v>
      </c>
      <c r="E14" s="1" t="e">
        <f ca="1">SQRT(E13/E11/PI())*2</f>
        <v>#REF!</v>
      </c>
      <c r="F14" t="s">
        <v>4</v>
      </c>
    </row>
    <row r="15" spans="1:29" x14ac:dyDescent="0.3">
      <c r="B15" t="s">
        <v>14</v>
      </c>
      <c r="E15" s="11">
        <f>IO!$E$13</f>
        <v>60</v>
      </c>
      <c r="F15" t="s">
        <v>4</v>
      </c>
    </row>
    <row r="17" spans="1:29" x14ac:dyDescent="0.3">
      <c r="A17" s="7" t="s">
        <v>20</v>
      </c>
    </row>
    <row r="18" spans="1:29" x14ac:dyDescent="0.3">
      <c r="A18" s="7"/>
      <c r="B18" t="s">
        <v>25</v>
      </c>
      <c r="E18">
        <f>IO!$E$16</f>
        <v>1</v>
      </c>
    </row>
    <row r="19" spans="1:29" x14ac:dyDescent="0.3">
      <c r="A19" s="7"/>
      <c r="B19" t="s">
        <v>26</v>
      </c>
      <c r="E19" t="e">
        <f>IO!#REF!</f>
        <v>#REF!</v>
      </c>
      <c r="AB19" t="s">
        <v>81</v>
      </c>
    </row>
    <row r="20" spans="1:29" x14ac:dyDescent="0.3">
      <c r="B20" t="s">
        <v>22</v>
      </c>
      <c r="E20" s="11">
        <f>IO!$E$17</f>
        <v>5000</v>
      </c>
      <c r="F20" t="s">
        <v>4</v>
      </c>
      <c r="AC20" t="s">
        <v>142</v>
      </c>
    </row>
    <row r="21" spans="1:29" x14ac:dyDescent="0.3">
      <c r="A21" s="7"/>
      <c r="B21" t="s">
        <v>21</v>
      </c>
      <c r="E21" s="173">
        <f>IO!$E$18</f>
        <v>389</v>
      </c>
      <c r="AC21" t="s">
        <v>141</v>
      </c>
    </row>
    <row r="23" spans="1:29" x14ac:dyDescent="0.3">
      <c r="A23" s="7" t="s">
        <v>27</v>
      </c>
    </row>
    <row r="24" spans="1:29" x14ac:dyDescent="0.3">
      <c r="B24" t="s">
        <v>28</v>
      </c>
      <c r="E24" s="12">
        <f>IO!$E$21</f>
        <v>7.0000000000000007E-2</v>
      </c>
    </row>
    <row r="25" spans="1:29" x14ac:dyDescent="0.3">
      <c r="B25" t="s">
        <v>85</v>
      </c>
      <c r="E25" s="12">
        <f>IO!$E$22</f>
        <v>0.08</v>
      </c>
    </row>
    <row r="26" spans="1:29" x14ac:dyDescent="0.3">
      <c r="B26" t="s">
        <v>137</v>
      </c>
      <c r="E26" s="138">
        <f>IO!$E$23</f>
        <v>0.02</v>
      </c>
    </row>
    <row r="27" spans="1:29" x14ac:dyDescent="0.3">
      <c r="B27" t="s">
        <v>139</v>
      </c>
      <c r="E27" s="106">
        <f ca="1">IO!$E$24</f>
        <v>4.6778534251972252E-2</v>
      </c>
    </row>
    <row r="28" spans="1:29" x14ac:dyDescent="0.3">
      <c r="E28" s="88"/>
      <c r="K28" s="13" t="s">
        <v>177</v>
      </c>
      <c r="L28" s="166"/>
      <c r="M28" s="172">
        <f>IO!$M$25</f>
        <v>0</v>
      </c>
      <c r="N28" s="2" t="s">
        <v>178</v>
      </c>
    </row>
    <row r="29" spans="1:29" x14ac:dyDescent="0.3">
      <c r="A29" s="7" t="s">
        <v>18</v>
      </c>
      <c r="E29" s="109" t="s">
        <v>133</v>
      </c>
      <c r="F29" s="24"/>
      <c r="G29" s="24" t="s">
        <v>134</v>
      </c>
      <c r="H29" s="2"/>
      <c r="K29" s="13" t="s">
        <v>2</v>
      </c>
      <c r="L29" s="166"/>
      <c r="M29" s="167">
        <f>M28*1000/E31</f>
        <v>0</v>
      </c>
      <c r="N29" s="2"/>
    </row>
    <row r="30" spans="1:29" x14ac:dyDescent="0.3">
      <c r="A30" s="7"/>
      <c r="B30" t="s">
        <v>147</v>
      </c>
      <c r="E30" s="129">
        <f>IO!$E$27</f>
        <v>1</v>
      </c>
      <c r="F30" s="24"/>
      <c r="G30" s="24"/>
      <c r="H30" s="2"/>
    </row>
    <row r="31" spans="1:29" x14ac:dyDescent="0.3">
      <c r="A31" s="7"/>
      <c r="B31" t="s">
        <v>16</v>
      </c>
      <c r="E31" s="102">
        <f>IO!$E$29</f>
        <v>202</v>
      </c>
      <c r="F31" s="2" t="s">
        <v>17</v>
      </c>
      <c r="G31" s="3">
        <f>E31*E21</f>
        <v>78578</v>
      </c>
      <c r="H31" s="2" t="s">
        <v>17</v>
      </c>
    </row>
    <row r="32" spans="1:29" x14ac:dyDescent="0.3">
      <c r="A32" s="7"/>
      <c r="B32" t="s">
        <v>99</v>
      </c>
      <c r="E32" s="93">
        <f>IO!$E$30</f>
        <v>0.8</v>
      </c>
      <c r="F32" s="2"/>
      <c r="G32" s="92">
        <f>E32</f>
        <v>0.8</v>
      </c>
      <c r="H32" s="2"/>
    </row>
    <row r="33" spans="1:22" x14ac:dyDescent="0.3">
      <c r="A33" s="7"/>
      <c r="B33" t="s">
        <v>135</v>
      </c>
      <c r="E33" s="93">
        <f>IO!$E$31</f>
        <v>0.95</v>
      </c>
      <c r="F33" s="2"/>
      <c r="G33" s="92">
        <f>E33</f>
        <v>0.95</v>
      </c>
      <c r="H33" s="2"/>
    </row>
    <row r="34" spans="1:22" x14ac:dyDescent="0.3">
      <c r="A34" s="7"/>
      <c r="B34" t="s">
        <v>107</v>
      </c>
      <c r="E34" s="93">
        <f>IO!$E$32</f>
        <v>0.98</v>
      </c>
      <c r="F34" s="2"/>
      <c r="G34" s="92">
        <f>E34</f>
        <v>0.98</v>
      </c>
      <c r="H34" s="2"/>
    </row>
    <row r="35" spans="1:22" x14ac:dyDescent="0.3">
      <c r="A35" s="7"/>
      <c r="B35" t="s">
        <v>163</v>
      </c>
      <c r="E35" s="131">
        <f ca="1">IF(E30=1,'Compute Performance'!Z19,'Compute Performance'!S19)</f>
        <v>152.68082079024549</v>
      </c>
      <c r="F35" s="2"/>
      <c r="G35" s="92"/>
      <c r="H35" s="2"/>
    </row>
    <row r="36" spans="1:22" x14ac:dyDescent="0.3">
      <c r="A36" s="7"/>
      <c r="B36" t="s">
        <v>109</v>
      </c>
      <c r="E36" s="131">
        <f ca="1">IF(E30=1,'Compute Performance'!Z20,'Compute Performance'!S20)</f>
        <v>122.14465663219639</v>
      </c>
      <c r="F36" s="2"/>
      <c r="G36" s="92"/>
      <c r="H36" s="2"/>
    </row>
    <row r="37" spans="1:22" x14ac:dyDescent="0.3">
      <c r="B37" t="s">
        <v>162</v>
      </c>
      <c r="E37" s="3">
        <f ca="1">IF(E30=1,'Compute Performance'!Z23,'Compute Performance'!S23)</f>
        <v>996.15807584327547</v>
      </c>
      <c r="F37" s="2" t="s">
        <v>69</v>
      </c>
      <c r="G37" s="3">
        <f ca="1">E37*E21</f>
        <v>387505.49150303414</v>
      </c>
      <c r="H37" s="2" t="s">
        <v>69</v>
      </c>
    </row>
    <row r="38" spans="1:22" x14ac:dyDescent="0.3">
      <c r="B38" t="s">
        <v>164</v>
      </c>
      <c r="E38" s="3">
        <f ca="1">IF(E30=1,'Compute Performance'!Z24,'Compute Performance'!S24)</f>
        <v>93.957428178612602</v>
      </c>
      <c r="F38" s="2"/>
      <c r="G38" s="3"/>
      <c r="H38" s="2"/>
    </row>
    <row r="39" spans="1:22" x14ac:dyDescent="0.3">
      <c r="B39" t="s">
        <v>70</v>
      </c>
      <c r="E39" s="90">
        <f ca="1">IF(E30=1,'Compute Performance'!Z22,'Compute Performance'!S22)</f>
        <v>0.60467651798117028</v>
      </c>
      <c r="F39" s="2"/>
      <c r="G39" s="90">
        <f ca="1">E39</f>
        <v>0.60467651798117028</v>
      </c>
      <c r="H39" s="2"/>
      <c r="K39" t="s">
        <v>175</v>
      </c>
      <c r="L39" s="12">
        <f>IO!$L$37</f>
        <v>0</v>
      </c>
    </row>
    <row r="40" spans="1:22" x14ac:dyDescent="0.3">
      <c r="B40" t="s">
        <v>115</v>
      </c>
      <c r="E40" s="91">
        <f ca="1">IF(E30=1,'Compute Performance'!Z26,'Compute Performance'!S26)</f>
        <v>0.48685013461748849</v>
      </c>
      <c r="F40" s="2" t="s">
        <v>132</v>
      </c>
      <c r="G40" s="91">
        <f ca="1">E40</f>
        <v>0.48685013461748849</v>
      </c>
      <c r="H40" s="2"/>
    </row>
    <row r="42" spans="1:22" ht="15" thickBot="1" x14ac:dyDescent="0.35">
      <c r="A42" s="7" t="s">
        <v>29</v>
      </c>
    </row>
    <row r="43" spans="1:22" x14ac:dyDescent="0.3">
      <c r="A43" s="7"/>
      <c r="C43" s="14"/>
      <c r="D43" s="15"/>
      <c r="E43" s="25" t="s">
        <v>3</v>
      </c>
      <c r="F43" s="15"/>
      <c r="G43" s="15"/>
      <c r="H43" s="119" t="s">
        <v>27</v>
      </c>
      <c r="I43" s="120"/>
      <c r="J43" s="121"/>
      <c r="K43" s="26" t="s">
        <v>56</v>
      </c>
      <c r="L43" s="15"/>
      <c r="M43" s="100" t="s">
        <v>11</v>
      </c>
      <c r="N43" t="s">
        <v>190</v>
      </c>
      <c r="O43" t="s">
        <v>191</v>
      </c>
      <c r="P43" t="s">
        <v>192</v>
      </c>
      <c r="Q43" t="s">
        <v>193</v>
      </c>
      <c r="R43" t="s">
        <v>194</v>
      </c>
      <c r="S43" t="s">
        <v>195</v>
      </c>
      <c r="T43" t="s">
        <v>196</v>
      </c>
      <c r="V43" t="s">
        <v>197</v>
      </c>
    </row>
    <row r="44" spans="1:22" ht="15" thickBot="1" x14ac:dyDescent="0.35">
      <c r="C44" s="16"/>
      <c r="D44" s="13"/>
      <c r="E44" s="21" t="s">
        <v>52</v>
      </c>
      <c r="F44" s="18" t="s">
        <v>53</v>
      </c>
      <c r="G44" s="19" t="s">
        <v>49</v>
      </c>
      <c r="H44" s="149" t="s">
        <v>54</v>
      </c>
      <c r="I44" s="150" t="s">
        <v>55</v>
      </c>
      <c r="J44" s="151" t="s">
        <v>146</v>
      </c>
      <c r="K44" s="20" t="s">
        <v>57</v>
      </c>
      <c r="L44" s="19" t="s">
        <v>58</v>
      </c>
      <c r="M44" s="98" t="s">
        <v>136</v>
      </c>
    </row>
    <row r="45" spans="1:22" x14ac:dyDescent="0.3">
      <c r="C45" s="132">
        <v>1.1000000000000001</v>
      </c>
      <c r="D45" s="23" t="s">
        <v>30</v>
      </c>
      <c r="E45" s="135" t="e">
        <f ca="1">SUM(E46:E48)</f>
        <v>#REF!</v>
      </c>
      <c r="F45" s="135" t="e">
        <f ca="1">SUM(F46:F48)</f>
        <v>#REF!</v>
      </c>
      <c r="G45" s="148" t="e">
        <f ca="1">F45/E31</f>
        <v>#REF!</v>
      </c>
      <c r="H45" s="147" t="e">
        <f ca="1">SUM(H46:H48)</f>
        <v>#REF!</v>
      </c>
      <c r="I45" s="152" t="e">
        <f ca="1">SUM(I46:I48)</f>
        <v>#REF!</v>
      </c>
      <c r="J45" s="153" t="e">
        <f ca="1">SUM(J46:J48)</f>
        <v>#REF!</v>
      </c>
      <c r="K45" s="119"/>
      <c r="L45" s="121"/>
      <c r="M45" s="97"/>
      <c r="O45" s="10"/>
    </row>
    <row r="46" spans="1:22" x14ac:dyDescent="0.3">
      <c r="C46" s="133" t="s">
        <v>31</v>
      </c>
      <c r="D46" s="13" t="s">
        <v>32</v>
      </c>
      <c r="E46" s="30" t="e">
        <f ca="1">V46</f>
        <v>#REF!</v>
      </c>
      <c r="F46" s="8" t="e">
        <f ca="1">E46/$M$29</f>
        <v>#REF!</v>
      </c>
      <c r="G46" s="115" t="e">
        <f ca="1">F46/E31</f>
        <v>#REF!</v>
      </c>
      <c r="H46" s="30" t="e">
        <f ca="1">(F46*$E$24)/$E$37</f>
        <v>#REF!</v>
      </c>
      <c r="I46" s="92" t="e">
        <f ca="1">H46/$H$60</f>
        <v>#REF!</v>
      </c>
      <c r="J46" s="94" t="e">
        <f ca="1">H46/$H$72</f>
        <v>#REF!</v>
      </c>
      <c r="K46" s="156" t="e">
        <f>IO!#REF!</f>
        <v>#REF!</v>
      </c>
      <c r="L46" s="156" t="e">
        <f>IO!#REF!</f>
        <v>#REF!</v>
      </c>
      <c r="M46" s="156">
        <f>IO!K44</f>
        <v>1</v>
      </c>
      <c r="N46" s="10" t="e">
        <f ca="1">O46+O46*L46</f>
        <v>#REF!</v>
      </c>
      <c r="O46" s="10">
        <f ca="1">IF(IO!$E44=0,1,IO!$E44)</f>
        <v>60331865.028253287</v>
      </c>
      <c r="P46" s="10" t="e">
        <f ca="1">O46+O46*K46</f>
        <v>#REF!</v>
      </c>
      <c r="Q46" s="9" t="e">
        <f ca="1">O46-N46</f>
        <v>#REF!</v>
      </c>
      <c r="R46" s="9" t="e">
        <f ca="1">P46-O46</f>
        <v>#REF!</v>
      </c>
      <c r="S46" s="9" t="e">
        <f ca="1">P46-N46</f>
        <v>#REF!</v>
      </c>
      <c r="T46" s="4">
        <f ca="1">RAND()</f>
        <v>0.73585042051080152</v>
      </c>
      <c r="V46" s="10" t="e">
        <f ca="1">IF(T46&lt;(Q46/S46),N46+SQRT(T46*Q46*S46),P46-SQRT((1-T46)*R46*S46))</f>
        <v>#REF!</v>
      </c>
    </row>
    <row r="47" spans="1:22" x14ac:dyDescent="0.3">
      <c r="C47" s="133" t="s">
        <v>33</v>
      </c>
      <c r="D47" s="13" t="s">
        <v>34</v>
      </c>
      <c r="E47" s="30" t="e">
        <f ca="1">V47</f>
        <v>#REF!</v>
      </c>
      <c r="F47" s="8" t="e">
        <f t="shared" ref="F47:F58" ca="1" si="0">E47/$M$29</f>
        <v>#REF!</v>
      </c>
      <c r="G47" s="115" t="e">
        <f ca="1">F47/E31</f>
        <v>#REF!</v>
      </c>
      <c r="H47" s="30" t="e">
        <f ca="1">(F47*$E$24)/$E$37</f>
        <v>#REF!</v>
      </c>
      <c r="I47" s="92" t="e">
        <f ca="1">H47/$H$60</f>
        <v>#REF!</v>
      </c>
      <c r="J47" s="94" t="e">
        <f ca="1">H47/$H$72</f>
        <v>#REF!</v>
      </c>
      <c r="K47" s="156" t="e">
        <f>IO!#REF!</f>
        <v>#REF!</v>
      </c>
      <c r="L47" s="156" t="e">
        <f>IO!#REF!</f>
        <v>#REF!</v>
      </c>
      <c r="M47" s="156">
        <f>IO!K45</f>
        <v>1</v>
      </c>
      <c r="N47" s="10" t="e">
        <f>O47+O47*L47</f>
        <v>#REF!</v>
      </c>
      <c r="O47" s="10">
        <f>IF(IO!$E45=0,1,IO!$E45)</f>
        <v>288282325.36875719</v>
      </c>
      <c r="P47" s="10" t="e">
        <f>O47+O47*K47</f>
        <v>#REF!</v>
      </c>
      <c r="Q47" s="9" t="e">
        <f t="shared" ref="Q47:Q68" si="1">O47-N47</f>
        <v>#REF!</v>
      </c>
      <c r="R47" s="9" t="e">
        <f t="shared" ref="R47:R68" si="2">P47-O47</f>
        <v>#REF!</v>
      </c>
      <c r="S47" s="9" t="e">
        <f t="shared" ref="S47:S68" si="3">P47-N47</f>
        <v>#REF!</v>
      </c>
      <c r="T47" s="4">
        <f t="shared" ref="T47:T68" ca="1" si="4">RAND()</f>
        <v>0.65546042629129475</v>
      </c>
      <c r="V47" s="10" t="e">
        <f t="shared" ref="V47:V68" ca="1" si="5">IF(T47&lt;(Q47/S47),N47+SQRT(T47*Q47*S47),P47-SQRT((1-T47)*R47*S47))</f>
        <v>#REF!</v>
      </c>
    </row>
    <row r="48" spans="1:22" x14ac:dyDescent="0.3">
      <c r="C48" s="133" t="s">
        <v>35</v>
      </c>
      <c r="D48" s="13" t="s">
        <v>36</v>
      </c>
      <c r="E48" s="30" t="e">
        <f ca="1">V48</f>
        <v>#REF!</v>
      </c>
      <c r="F48" s="8" t="e">
        <f t="shared" ca="1" si="0"/>
        <v>#REF!</v>
      </c>
      <c r="G48" s="115" t="e">
        <f ca="1">F48/E31</f>
        <v>#REF!</v>
      </c>
      <c r="H48" s="30" t="e">
        <f ca="1">(F48*$E$24)/$E$37</f>
        <v>#REF!</v>
      </c>
      <c r="I48" s="92" t="e">
        <f ca="1">H48/$H$60</f>
        <v>#REF!</v>
      </c>
      <c r="J48" s="94" t="e">
        <f ca="1">H48/$H$72</f>
        <v>#REF!</v>
      </c>
      <c r="K48" s="156" t="e">
        <f>IO!#REF!</f>
        <v>#REF!</v>
      </c>
      <c r="L48" s="156" t="e">
        <f>IO!#REF!</f>
        <v>#REF!</v>
      </c>
      <c r="M48" s="156">
        <f>IO!K46</f>
        <v>1</v>
      </c>
      <c r="N48" s="10" t="e">
        <f ca="1">O48+O48*L48</f>
        <v>#REF!</v>
      </c>
      <c r="O48" s="10">
        <f ca="1">IF(IO!$E46=0,1,IO!$E46)</f>
        <v>90181691.375980198</v>
      </c>
      <c r="P48" s="10" t="e">
        <f ca="1">O48+O48*K48</f>
        <v>#REF!</v>
      </c>
      <c r="Q48" s="9" t="e">
        <f t="shared" ca="1" si="1"/>
        <v>#REF!</v>
      </c>
      <c r="R48" s="9" t="e">
        <f t="shared" ca="1" si="2"/>
        <v>#REF!</v>
      </c>
      <c r="S48" s="9" t="e">
        <f t="shared" ca="1" si="3"/>
        <v>#REF!</v>
      </c>
      <c r="T48" s="4">
        <f t="shared" ca="1" si="4"/>
        <v>0.12315055320457802</v>
      </c>
      <c r="V48" s="10" t="e">
        <f t="shared" ca="1" si="5"/>
        <v>#REF!</v>
      </c>
    </row>
    <row r="49" spans="1:22" x14ac:dyDescent="0.3">
      <c r="C49" s="132">
        <v>1.2</v>
      </c>
      <c r="D49" s="23" t="s">
        <v>37</v>
      </c>
      <c r="E49" s="105" t="e">
        <f ca="1">SUM(E50:E55)</f>
        <v>#REF!</v>
      </c>
      <c r="F49" s="8" t="e">
        <f t="shared" ca="1" si="0"/>
        <v>#REF!</v>
      </c>
      <c r="G49" s="123" t="e">
        <f ca="1">SUM(G50:G55)</f>
        <v>#REF!</v>
      </c>
      <c r="H49" s="105" t="e">
        <f ca="1">SUM(H50:H53)</f>
        <v>#REF!</v>
      </c>
      <c r="I49" s="124" t="e">
        <f ca="1">SUM(I50:I53)</f>
        <v>#REF!</v>
      </c>
      <c r="J49" s="108" t="e">
        <f ca="1">SUM(J50:J55)</f>
        <v>#REF!</v>
      </c>
      <c r="K49" s="156"/>
      <c r="L49" s="156"/>
      <c r="M49" s="156"/>
      <c r="N49" s="10"/>
      <c r="O49" s="10"/>
      <c r="P49" s="10"/>
      <c r="Q49" s="9"/>
      <c r="R49" s="9"/>
      <c r="S49" s="9"/>
      <c r="T49" s="4"/>
      <c r="V49" s="10"/>
    </row>
    <row r="50" spans="1:22" x14ac:dyDescent="0.3">
      <c r="C50" s="133" t="s">
        <v>38</v>
      </c>
      <c r="D50" s="13" t="s">
        <v>51</v>
      </c>
      <c r="E50" s="38" t="e">
        <f ca="1">V50</f>
        <v>#REF!</v>
      </c>
      <c r="F50" s="8" t="e">
        <f t="shared" ca="1" si="0"/>
        <v>#REF!</v>
      </c>
      <c r="G50" s="115" t="e">
        <f ca="1">F50/$E$31</f>
        <v>#REF!</v>
      </c>
      <c r="H50" s="30" t="e">
        <f t="shared" ref="H50:H55" ca="1" si="6">(F50*$E$24)/$E$37</f>
        <v>#REF!</v>
      </c>
      <c r="I50" s="92" t="e">
        <f t="shared" ref="I50:I55" ca="1" si="7">H50/$H$60</f>
        <v>#REF!</v>
      </c>
      <c r="J50" s="94" t="e">
        <f t="shared" ref="J50:J55" ca="1" si="8">H50/$H$72</f>
        <v>#REF!</v>
      </c>
      <c r="K50" s="156" t="e">
        <f>IO!#REF!</f>
        <v>#REF!</v>
      </c>
      <c r="L50" s="156" t="e">
        <f>IO!#REF!</f>
        <v>#REF!</v>
      </c>
      <c r="M50" s="156">
        <f>IO!K48</f>
        <v>1</v>
      </c>
      <c r="N50" s="10" t="e">
        <f>O50+O50*L50</f>
        <v>#REF!</v>
      </c>
      <c r="O50" s="10">
        <f>IF(IO!$E48=0,1,IO!$E48)</f>
        <v>10196919.287132647</v>
      </c>
      <c r="P50" s="10" t="e">
        <f>O50+O50*K50</f>
        <v>#REF!</v>
      </c>
      <c r="Q50" s="9" t="e">
        <f t="shared" si="1"/>
        <v>#REF!</v>
      </c>
      <c r="R50" s="9" t="e">
        <f t="shared" si="2"/>
        <v>#REF!</v>
      </c>
      <c r="S50" s="9" t="e">
        <f t="shared" si="3"/>
        <v>#REF!</v>
      </c>
      <c r="T50" s="4">
        <f t="shared" ca="1" si="4"/>
        <v>0.58878425598255391</v>
      </c>
      <c r="V50" s="10" t="e">
        <f ca="1">IF(T50&lt;(Q50/S50),N50+SQRT(T50*Q50*S50),P50-SQRT((1-T50)*R50*S50))</f>
        <v>#REF!</v>
      </c>
    </row>
    <row r="51" spans="1:22" x14ac:dyDescent="0.3">
      <c r="C51" s="133" t="s">
        <v>39</v>
      </c>
      <c r="D51" s="13" t="s">
        <v>40</v>
      </c>
      <c r="E51" s="38" t="e">
        <f ca="1">V51</f>
        <v>#REF!</v>
      </c>
      <c r="F51" s="8" t="e">
        <f t="shared" ca="1" si="0"/>
        <v>#REF!</v>
      </c>
      <c r="G51" s="115" t="e">
        <f t="shared" ref="G51:G58" ca="1" si="9">F51/$E$31</f>
        <v>#REF!</v>
      </c>
      <c r="H51" s="30" t="e">
        <f t="shared" ca="1" si="6"/>
        <v>#REF!</v>
      </c>
      <c r="I51" s="92" t="e">
        <f t="shared" ca="1" si="7"/>
        <v>#REF!</v>
      </c>
      <c r="J51" s="94" t="e">
        <f t="shared" ca="1" si="8"/>
        <v>#REF!</v>
      </c>
      <c r="K51" s="156" t="e">
        <f>IO!#REF!</f>
        <v>#REF!</v>
      </c>
      <c r="L51" s="156" t="e">
        <f>IO!#REF!</f>
        <v>#REF!</v>
      </c>
      <c r="M51" s="156">
        <f>IO!K49</f>
        <v>1</v>
      </c>
      <c r="N51" s="10" t="e">
        <f ca="1">O51+O51*L51</f>
        <v>#REF!</v>
      </c>
      <c r="O51" s="10">
        <f ca="1">IF(IO!$E49=0,1,IO!$E49)</f>
        <v>11157637.626391549</v>
      </c>
      <c r="P51" s="10" t="e">
        <f ca="1">O51+O51*K51</f>
        <v>#REF!</v>
      </c>
      <c r="Q51" s="9" t="e">
        <f t="shared" ca="1" si="1"/>
        <v>#REF!</v>
      </c>
      <c r="R51" s="9" t="e">
        <f t="shared" ca="1" si="2"/>
        <v>#REF!</v>
      </c>
      <c r="S51" s="9" t="e">
        <f t="shared" ca="1" si="3"/>
        <v>#REF!</v>
      </c>
      <c r="T51" s="4">
        <f t="shared" ca="1" si="4"/>
        <v>0.41197634014234552</v>
      </c>
      <c r="V51" s="10" t="e">
        <f t="shared" ca="1" si="5"/>
        <v>#REF!</v>
      </c>
    </row>
    <row r="52" spans="1:22" x14ac:dyDescent="0.3">
      <c r="C52" s="133" t="s">
        <v>41</v>
      </c>
      <c r="D52" s="13" t="s">
        <v>42</v>
      </c>
      <c r="E52" s="38" t="e">
        <f ca="1">V52</f>
        <v>#REF!</v>
      </c>
      <c r="F52" s="8" t="e">
        <f t="shared" ca="1" si="0"/>
        <v>#REF!</v>
      </c>
      <c r="G52" s="115" t="e">
        <f t="shared" ca="1" si="9"/>
        <v>#REF!</v>
      </c>
      <c r="H52" s="30" t="e">
        <f t="shared" ca="1" si="6"/>
        <v>#REF!</v>
      </c>
      <c r="I52" s="92" t="e">
        <f t="shared" ca="1" si="7"/>
        <v>#REF!</v>
      </c>
      <c r="J52" s="94" t="e">
        <f t="shared" ca="1" si="8"/>
        <v>#REF!</v>
      </c>
      <c r="K52" s="156" t="e">
        <f>IO!#REF!</f>
        <v>#REF!</v>
      </c>
      <c r="L52" s="156" t="e">
        <f>IO!#REF!</f>
        <v>#REF!</v>
      </c>
      <c r="M52" s="156">
        <f>IO!K50</f>
        <v>1</v>
      </c>
      <c r="N52" s="10" t="e">
        <f>O52+O52*L52</f>
        <v>#REF!</v>
      </c>
      <c r="O52" s="10">
        <f>IF(IO!$E50=0,1,IO!$E50)</f>
        <v>9228751</v>
      </c>
      <c r="P52" s="10" t="e">
        <f>O52+O52*K52</f>
        <v>#REF!</v>
      </c>
      <c r="Q52" s="9" t="e">
        <f t="shared" si="1"/>
        <v>#REF!</v>
      </c>
      <c r="R52" s="9" t="e">
        <f t="shared" si="2"/>
        <v>#REF!</v>
      </c>
      <c r="S52" s="9" t="e">
        <f t="shared" si="3"/>
        <v>#REF!</v>
      </c>
      <c r="T52" s="4">
        <f t="shared" ca="1" si="4"/>
        <v>0.42821419627734514</v>
      </c>
      <c r="V52" s="10" t="e">
        <f t="shared" ca="1" si="5"/>
        <v>#REF!</v>
      </c>
    </row>
    <row r="53" spans="1:22" x14ac:dyDescent="0.3">
      <c r="C53" s="133" t="s">
        <v>43</v>
      </c>
      <c r="D53" s="13" t="s">
        <v>44</v>
      </c>
      <c r="E53" s="38" t="e">
        <f ca="1">E54+E55</f>
        <v>#REF!</v>
      </c>
      <c r="F53" s="8" t="e">
        <f t="shared" ca="1" si="0"/>
        <v>#REF!</v>
      </c>
      <c r="G53" s="115" t="e">
        <f t="shared" ca="1" si="9"/>
        <v>#REF!</v>
      </c>
      <c r="H53" s="30" t="e">
        <f t="shared" ca="1" si="6"/>
        <v>#REF!</v>
      </c>
      <c r="I53" s="92" t="e">
        <f t="shared" ca="1" si="7"/>
        <v>#REF!</v>
      </c>
      <c r="J53" s="94" t="e">
        <f t="shared" ca="1" si="8"/>
        <v>#REF!</v>
      </c>
      <c r="K53" s="156" t="e">
        <f>IO!#REF!</f>
        <v>#REF!</v>
      </c>
      <c r="L53" s="156" t="e">
        <f>IO!#REF!</f>
        <v>#REF!</v>
      </c>
      <c r="M53" s="156"/>
      <c r="N53" s="10"/>
      <c r="O53" s="10"/>
      <c r="P53" s="10"/>
      <c r="Q53" s="9"/>
      <c r="R53" s="9"/>
      <c r="S53" s="9"/>
      <c r="T53" s="4"/>
      <c r="V53" s="10"/>
    </row>
    <row r="54" spans="1:22" x14ac:dyDescent="0.3">
      <c r="C54" s="139" t="s">
        <v>165</v>
      </c>
      <c r="D54" s="140" t="s">
        <v>167</v>
      </c>
      <c r="E54" s="38" t="e">
        <f ca="1">V54</f>
        <v>#REF!</v>
      </c>
      <c r="F54" s="8" t="e">
        <f t="shared" ca="1" si="0"/>
        <v>#REF!</v>
      </c>
      <c r="G54" s="115" t="e">
        <f t="shared" ca="1" si="9"/>
        <v>#REF!</v>
      </c>
      <c r="H54" s="144" t="e">
        <f t="shared" ca="1" si="6"/>
        <v>#REF!</v>
      </c>
      <c r="I54" s="145" t="e">
        <f t="shared" ca="1" si="7"/>
        <v>#REF!</v>
      </c>
      <c r="J54" s="146" t="e">
        <f t="shared" ca="1" si="8"/>
        <v>#REF!</v>
      </c>
      <c r="K54" s="156" t="e">
        <f>IO!#REF!</f>
        <v>#REF!</v>
      </c>
      <c r="L54" s="156" t="e">
        <f>IO!#REF!</f>
        <v>#REF!</v>
      </c>
      <c r="M54" s="156">
        <f>IO!K52</f>
        <v>1</v>
      </c>
      <c r="N54" s="10" t="e">
        <f ca="1">O54+O54*L54</f>
        <v>#REF!</v>
      </c>
      <c r="O54" s="10">
        <f ca="1">IF(IO!$E52=0,1,IO!$E52)</f>
        <v>74052493</v>
      </c>
      <c r="P54" s="10" t="e">
        <f ca="1">O54+O54*K54</f>
        <v>#REF!</v>
      </c>
      <c r="Q54" s="9" t="e">
        <f t="shared" ca="1" si="1"/>
        <v>#REF!</v>
      </c>
      <c r="R54" s="9" t="e">
        <f t="shared" ca="1" si="2"/>
        <v>#REF!</v>
      </c>
      <c r="S54" s="9" t="e">
        <f t="shared" ca="1" si="3"/>
        <v>#REF!</v>
      </c>
      <c r="T54" s="4">
        <f t="shared" ca="1" si="4"/>
        <v>0.34816823869097169</v>
      </c>
      <c r="V54" s="10" t="e">
        <f t="shared" ca="1" si="5"/>
        <v>#REF!</v>
      </c>
    </row>
    <row r="55" spans="1:22" x14ac:dyDescent="0.3">
      <c r="C55" s="139" t="s">
        <v>166</v>
      </c>
      <c r="D55" s="140" t="s">
        <v>83</v>
      </c>
      <c r="E55" s="38" t="e">
        <f ca="1">V55</f>
        <v>#REF!</v>
      </c>
      <c r="F55" s="8" t="e">
        <f t="shared" ca="1" si="0"/>
        <v>#REF!</v>
      </c>
      <c r="G55" s="115" t="e">
        <f t="shared" ca="1" si="9"/>
        <v>#REF!</v>
      </c>
      <c r="H55" s="144" t="e">
        <f t="shared" ca="1" si="6"/>
        <v>#REF!</v>
      </c>
      <c r="I55" s="145" t="e">
        <f t="shared" ca="1" si="7"/>
        <v>#REF!</v>
      </c>
      <c r="J55" s="146" t="e">
        <f t="shared" ca="1" si="8"/>
        <v>#REF!</v>
      </c>
      <c r="K55" s="156" t="e">
        <f>IO!#REF!</f>
        <v>#REF!</v>
      </c>
      <c r="L55" s="156" t="e">
        <f>IO!#REF!</f>
        <v>#REF!</v>
      </c>
      <c r="M55" s="156">
        <f>IO!K53</f>
        <v>1</v>
      </c>
      <c r="N55" s="10" t="e">
        <f>O55+O55*L55</f>
        <v>#REF!</v>
      </c>
      <c r="O55" s="10">
        <f>IF(IO!$E53=0,1,IO!$E53)</f>
        <v>25607836.259454112</v>
      </c>
      <c r="P55" s="10" t="e">
        <f>O55+O55*K55</f>
        <v>#REF!</v>
      </c>
      <c r="Q55" s="9" t="e">
        <f t="shared" si="1"/>
        <v>#REF!</v>
      </c>
      <c r="R55" s="9" t="e">
        <f t="shared" si="2"/>
        <v>#REF!</v>
      </c>
      <c r="S55" s="9" t="e">
        <f t="shared" si="3"/>
        <v>#REF!</v>
      </c>
      <c r="T55" s="4">
        <f t="shared" ca="1" si="4"/>
        <v>0.81074160490703828</v>
      </c>
      <c r="V55" s="10" t="e">
        <f t="shared" ca="1" si="5"/>
        <v>#REF!</v>
      </c>
    </row>
    <row r="56" spans="1:22" x14ac:dyDescent="0.3">
      <c r="C56" s="132">
        <v>1.3</v>
      </c>
      <c r="D56" s="23" t="s">
        <v>45</v>
      </c>
      <c r="E56" s="105" t="e">
        <f t="shared" ref="E56:J56" ca="1" si="10">SUM(E57:E58)</f>
        <v>#REF!</v>
      </c>
      <c r="F56" s="8" t="e">
        <f t="shared" ca="1" si="0"/>
        <v>#REF!</v>
      </c>
      <c r="G56" s="115" t="e">
        <f t="shared" ca="1" si="9"/>
        <v>#REF!</v>
      </c>
      <c r="H56" s="105" t="e">
        <f t="shared" ca="1" si="10"/>
        <v>#REF!</v>
      </c>
      <c r="I56" s="124" t="e">
        <f t="shared" ca="1" si="10"/>
        <v>#REF!</v>
      </c>
      <c r="J56" s="108" t="e">
        <f t="shared" ca="1" si="10"/>
        <v>#REF!</v>
      </c>
      <c r="K56" s="156"/>
      <c r="L56" s="156"/>
      <c r="M56" s="156"/>
      <c r="N56" s="10"/>
      <c r="O56" s="10"/>
      <c r="P56" s="10"/>
      <c r="Q56" s="9"/>
      <c r="R56" s="9"/>
      <c r="S56" s="9"/>
      <c r="T56" s="4"/>
      <c r="V56" s="10"/>
    </row>
    <row r="57" spans="1:22" x14ac:dyDescent="0.3">
      <c r="C57" s="133" t="s">
        <v>46</v>
      </c>
      <c r="D57" s="13" t="s">
        <v>47</v>
      </c>
      <c r="E57" s="30" t="e">
        <f ca="1">V57</f>
        <v>#REF!</v>
      </c>
      <c r="F57" s="8" t="e">
        <f t="shared" ca="1" si="0"/>
        <v>#REF!</v>
      </c>
      <c r="G57" s="115" t="e">
        <f t="shared" ca="1" si="9"/>
        <v>#REF!</v>
      </c>
      <c r="H57" s="30" t="e">
        <f ca="1">H58/4</f>
        <v>#REF!</v>
      </c>
      <c r="I57" s="92" t="e">
        <f ca="1">I58/4</f>
        <v>#REF!</v>
      </c>
      <c r="J57" s="94" t="e">
        <f ca="1">H57/$H$72</f>
        <v>#REF!</v>
      </c>
      <c r="K57" s="156" t="e">
        <f>IO!#REF!</f>
        <v>#REF!</v>
      </c>
      <c r="L57" s="156" t="e">
        <f>IO!#REF!</f>
        <v>#REF!</v>
      </c>
      <c r="M57" s="156">
        <f>IO!K55</f>
        <v>1</v>
      </c>
      <c r="N57" s="10" t="e">
        <f ca="1">O57+O57*L57</f>
        <v>#REF!</v>
      </c>
      <c r="O57" s="10">
        <f ca="1">IF(IO!$E55=0,1,IO!$E55)</f>
        <v>11380790.378919378</v>
      </c>
      <c r="P57" s="10" t="e">
        <f ca="1">O57+O57*K57</f>
        <v>#REF!</v>
      </c>
      <c r="Q57" s="9" t="e">
        <f t="shared" ca="1" si="1"/>
        <v>#REF!</v>
      </c>
      <c r="R57" s="9" t="e">
        <f t="shared" ca="1" si="2"/>
        <v>#REF!</v>
      </c>
      <c r="S57" s="9" t="e">
        <f t="shared" ca="1" si="3"/>
        <v>#REF!</v>
      </c>
      <c r="T57" s="4">
        <f t="shared" ca="1" si="4"/>
        <v>0.17026424471028578</v>
      </c>
      <c r="V57" s="10" t="e">
        <f t="shared" ca="1" si="5"/>
        <v>#REF!</v>
      </c>
    </row>
    <row r="58" spans="1:22" ht="15" thickBot="1" x14ac:dyDescent="0.35">
      <c r="C58" s="134" t="s">
        <v>48</v>
      </c>
      <c r="D58" s="19" t="s">
        <v>50</v>
      </c>
      <c r="E58" s="30" t="e">
        <f ca="1">V58</f>
        <v>#REF!</v>
      </c>
      <c r="F58" s="8" t="e">
        <f t="shared" ca="1" si="0"/>
        <v>#REF!</v>
      </c>
      <c r="G58" s="115" t="e">
        <f t="shared" ca="1" si="9"/>
        <v>#REF!</v>
      </c>
      <c r="H58" s="40" t="e">
        <f ca="1">(F58*$E$24)/$E$37</f>
        <v>#REF!</v>
      </c>
      <c r="I58" s="122" t="e">
        <f ca="1">H58/$H$60</f>
        <v>#REF!</v>
      </c>
      <c r="J58" s="96" t="e">
        <f ca="1">H58/$H$72</f>
        <v>#REF!</v>
      </c>
      <c r="K58" s="156" t="e">
        <f>IO!#REF!</f>
        <v>#REF!</v>
      </c>
      <c r="L58" s="156" t="e">
        <f>IO!#REF!</f>
        <v>#REF!</v>
      </c>
      <c r="M58" s="156">
        <f>IO!K56</f>
        <v>1</v>
      </c>
      <c r="N58" s="10" t="e">
        <f ca="1">O58+O58*L58</f>
        <v>#REF!</v>
      </c>
      <c r="O58" s="10">
        <f ca="1">IF(IO!$E56=0,1,IO!$E56)</f>
        <v>45523161.515677519</v>
      </c>
      <c r="P58" s="10" t="e">
        <f ca="1">O58+O58*K58</f>
        <v>#REF!</v>
      </c>
      <c r="Q58" s="9" t="e">
        <f t="shared" ca="1" si="1"/>
        <v>#REF!</v>
      </c>
      <c r="R58" s="9" t="e">
        <f t="shared" ca="1" si="2"/>
        <v>#REF!</v>
      </c>
      <c r="S58" s="9" t="e">
        <f t="shared" ca="1" si="3"/>
        <v>#REF!</v>
      </c>
      <c r="T58" s="4">
        <f t="shared" ca="1" si="4"/>
        <v>0.18453405601539552</v>
      </c>
      <c r="V58" s="10" t="e">
        <f t="shared" ca="1" si="5"/>
        <v>#REF!</v>
      </c>
    </row>
    <row r="59" spans="1:22" x14ac:dyDescent="0.3">
      <c r="J59" s="154"/>
      <c r="N59" s="10"/>
      <c r="O59" s="10"/>
      <c r="P59" s="10"/>
      <c r="Q59" s="9"/>
      <c r="R59" s="9"/>
      <c r="S59" s="9"/>
      <c r="T59" s="4"/>
      <c r="V59" s="10"/>
    </row>
    <row r="60" spans="1:22" x14ac:dyDescent="0.3">
      <c r="C60" s="27" t="s">
        <v>59</v>
      </c>
      <c r="D60" s="28"/>
      <c r="E60" s="37" t="e">
        <f ca="1">SUM(E46:E58)</f>
        <v>#REF!</v>
      </c>
      <c r="F60" s="37" t="e">
        <f ca="1">SUM(F46:F58)</f>
        <v>#REF!</v>
      </c>
      <c r="G60" s="37" t="e">
        <f ca="1">SUM(G46:G58)</f>
        <v>#REF!</v>
      </c>
      <c r="H60" s="37" t="e">
        <f ca="1">H45+H49+H56</f>
        <v>#REF!</v>
      </c>
      <c r="I60" s="101" t="e">
        <f ca="1">I45+I49+I56</f>
        <v>#REF!</v>
      </c>
      <c r="J60" s="101" t="e">
        <f ca="1">J45+J49+J56</f>
        <v>#REF!</v>
      </c>
      <c r="K60" s="28"/>
      <c r="L60" s="28"/>
      <c r="M60" s="29"/>
      <c r="N60" s="10"/>
      <c r="O60" s="10"/>
      <c r="P60" s="10"/>
      <c r="Q60" s="9"/>
      <c r="R60" s="9"/>
      <c r="S60" s="9"/>
      <c r="T60" s="4"/>
      <c r="V60" s="10"/>
    </row>
    <row r="61" spans="1:22" x14ac:dyDescent="0.3">
      <c r="H61" s="36"/>
      <c r="J61" s="155"/>
      <c r="N61" s="10"/>
      <c r="O61" s="10"/>
      <c r="P61" s="10"/>
      <c r="Q61" s="9"/>
      <c r="R61" s="9"/>
      <c r="S61" s="9"/>
      <c r="T61" s="4"/>
      <c r="V61" s="10"/>
    </row>
    <row r="62" spans="1:22" ht="15" thickBot="1" x14ac:dyDescent="0.35">
      <c r="A62" s="7" t="s">
        <v>60</v>
      </c>
      <c r="J62" s="155"/>
      <c r="N62" s="10"/>
      <c r="O62" s="10"/>
      <c r="P62" s="10"/>
      <c r="Q62" s="9"/>
      <c r="R62" s="9"/>
      <c r="S62" s="9"/>
      <c r="T62" s="4"/>
      <c r="V62" s="10"/>
    </row>
    <row r="63" spans="1:22" x14ac:dyDescent="0.3">
      <c r="C63" s="14"/>
      <c r="D63" s="15"/>
      <c r="E63" s="25" t="s">
        <v>3</v>
      </c>
      <c r="F63" s="26"/>
      <c r="G63" s="26"/>
      <c r="H63" s="158" t="s">
        <v>27</v>
      </c>
      <c r="I63" s="159"/>
      <c r="J63" s="160"/>
      <c r="K63" s="26" t="s">
        <v>56</v>
      </c>
      <c r="L63" s="15"/>
      <c r="M63" s="97" t="s">
        <v>11</v>
      </c>
      <c r="N63" s="10"/>
      <c r="O63" s="10"/>
      <c r="P63" s="10"/>
      <c r="Q63" s="9"/>
      <c r="R63" s="9"/>
      <c r="S63" s="9"/>
      <c r="T63" s="4"/>
      <c r="V63" s="10"/>
    </row>
    <row r="64" spans="1:22" ht="15" thickBot="1" x14ac:dyDescent="0.35">
      <c r="C64" s="16"/>
      <c r="D64" s="13"/>
      <c r="E64" s="21" t="s">
        <v>52</v>
      </c>
      <c r="F64" s="18" t="s">
        <v>53</v>
      </c>
      <c r="G64" s="19" t="s">
        <v>49</v>
      </c>
      <c r="H64" s="21" t="s">
        <v>54</v>
      </c>
      <c r="I64" s="18" t="s">
        <v>55</v>
      </c>
      <c r="J64" s="96"/>
      <c r="K64" s="20" t="s">
        <v>57</v>
      </c>
      <c r="L64" s="19" t="s">
        <v>58</v>
      </c>
      <c r="M64" s="98" t="s">
        <v>136</v>
      </c>
      <c r="N64" s="10"/>
      <c r="O64" s="10"/>
      <c r="P64" s="10"/>
      <c r="Q64" s="9"/>
      <c r="R64" s="9"/>
      <c r="S64" s="9"/>
      <c r="T64" s="4"/>
      <c r="V64" s="10"/>
    </row>
    <row r="65" spans="3:22" x14ac:dyDescent="0.3">
      <c r="C65" s="22">
        <v>2.1</v>
      </c>
      <c r="D65" s="23" t="s">
        <v>168</v>
      </c>
      <c r="E65" s="135" t="e">
        <f ca="1">E66+E67</f>
        <v>#REF!</v>
      </c>
      <c r="F65" s="135" t="e">
        <f ca="1">F66+F67</f>
        <v>#REF!</v>
      </c>
      <c r="G65" s="161" t="e">
        <f ca="1">F65/$E$31</f>
        <v>#REF!</v>
      </c>
      <c r="H65" s="135" t="e">
        <f ca="1">H66+H67</f>
        <v>#REF!</v>
      </c>
      <c r="I65" s="136" t="e">
        <f ca="1">I66+I67</f>
        <v>#REF!</v>
      </c>
      <c r="J65" s="162" t="e">
        <f ca="1">J66+J67</f>
        <v>#REF!</v>
      </c>
      <c r="K65" s="34"/>
      <c r="L65" s="95"/>
      <c r="M65" s="163"/>
      <c r="N65" s="10"/>
      <c r="O65" s="10"/>
      <c r="P65" s="10"/>
      <c r="Q65" s="9"/>
      <c r="R65" s="9"/>
      <c r="S65" s="9"/>
      <c r="T65" s="4"/>
      <c r="V65" s="10"/>
    </row>
    <row r="66" spans="3:22" x14ac:dyDescent="0.3">
      <c r="C66" s="17" t="s">
        <v>61</v>
      </c>
      <c r="D66" s="13" t="s">
        <v>67</v>
      </c>
      <c r="E66" s="38" t="e">
        <f ca="1">V66</f>
        <v>#REF!</v>
      </c>
      <c r="F66" s="39" t="e">
        <f ca="1">E66/$E$21</f>
        <v>#REF!</v>
      </c>
      <c r="G66" s="161" t="e">
        <f ca="1">F66/$E$31</f>
        <v>#REF!</v>
      </c>
      <c r="H66" s="30" t="e">
        <f ca="1">F66/$E$37</f>
        <v>#REF!</v>
      </c>
      <c r="I66" s="125" t="e">
        <f ca="1">H66/$H$70</f>
        <v>#REF!</v>
      </c>
      <c r="J66" s="94" t="e">
        <f ca="1">H66/$H$72</f>
        <v>#REF!</v>
      </c>
      <c r="K66" s="156" t="e">
        <f>IO!#REF!</f>
        <v>#REF!</v>
      </c>
      <c r="L66" s="156" t="e">
        <f>IO!#REF!</f>
        <v>#REF!</v>
      </c>
      <c r="M66" s="156">
        <f>IO!K64</f>
        <v>1</v>
      </c>
      <c r="N66" s="10" t="e">
        <f>O66+O66*L66</f>
        <v>#REF!</v>
      </c>
      <c r="O66" s="10">
        <f>IF(IO!$E64=0,1,IO!$E64)</f>
        <v>3025903.4522702764</v>
      </c>
      <c r="P66" s="10" t="e">
        <f>O66+O66*K66</f>
        <v>#REF!</v>
      </c>
      <c r="Q66" s="9" t="e">
        <f t="shared" si="1"/>
        <v>#REF!</v>
      </c>
      <c r="R66" s="9" t="e">
        <f t="shared" si="2"/>
        <v>#REF!</v>
      </c>
      <c r="S66" s="9" t="e">
        <f t="shared" si="3"/>
        <v>#REF!</v>
      </c>
      <c r="T66" s="4">
        <f t="shared" ca="1" si="4"/>
        <v>0.1154485506303139</v>
      </c>
      <c r="V66" s="10" t="e">
        <f t="shared" ca="1" si="5"/>
        <v>#REF!</v>
      </c>
    </row>
    <row r="67" spans="3:22" x14ac:dyDescent="0.3">
      <c r="C67" s="17" t="s">
        <v>62</v>
      </c>
      <c r="D67" s="13" t="s">
        <v>63</v>
      </c>
      <c r="E67" s="38" t="e">
        <f ca="1">V67</f>
        <v>#REF!</v>
      </c>
      <c r="F67" s="39" t="e">
        <f ca="1">E67/$E$21</f>
        <v>#REF!</v>
      </c>
      <c r="G67" s="161" t="e">
        <f ca="1">F67/$E$31</f>
        <v>#REF!</v>
      </c>
      <c r="H67" s="30" t="e">
        <f ca="1">F67/$E$37</f>
        <v>#REF!</v>
      </c>
      <c r="I67" s="125" t="e">
        <f ca="1">H67/$H$70</f>
        <v>#REF!</v>
      </c>
      <c r="J67" s="94" t="e">
        <f ca="1">H67/$H$72</f>
        <v>#REF!</v>
      </c>
      <c r="K67" s="156" t="e">
        <f>IO!#REF!</f>
        <v>#REF!</v>
      </c>
      <c r="L67" s="156" t="e">
        <f>IO!#REF!</f>
        <v>#REF!</v>
      </c>
      <c r="M67" s="156">
        <f>IO!K65</f>
        <v>1</v>
      </c>
      <c r="N67" s="10" t="e">
        <f ca="1">O67+O67*L67</f>
        <v>#REF!</v>
      </c>
      <c r="O67" s="10">
        <f ca="1">IF(IO!$E65=0,1,IO!$E65)</f>
        <v>18255027.783351906</v>
      </c>
      <c r="P67" s="10" t="e">
        <f ca="1">O67+O67*K67</f>
        <v>#REF!</v>
      </c>
      <c r="Q67" s="9" t="e">
        <f t="shared" ca="1" si="1"/>
        <v>#REF!</v>
      </c>
      <c r="R67" s="9" t="e">
        <f t="shared" ca="1" si="2"/>
        <v>#REF!</v>
      </c>
      <c r="S67" s="9" t="e">
        <f t="shared" ca="1" si="3"/>
        <v>#REF!</v>
      </c>
      <c r="T67" s="4">
        <f t="shared" ca="1" si="4"/>
        <v>0.67989083333461153</v>
      </c>
      <c r="V67" s="10" t="e">
        <f t="shared" ca="1" si="5"/>
        <v>#REF!</v>
      </c>
    </row>
    <row r="68" spans="3:22" ht="15" thickBot="1" x14ac:dyDescent="0.35">
      <c r="C68" s="103">
        <v>2.2000000000000002</v>
      </c>
      <c r="D68" s="104" t="s">
        <v>64</v>
      </c>
      <c r="E68" s="107" t="e">
        <f ca="1">V68</f>
        <v>#REF!</v>
      </c>
      <c r="F68" s="39" t="e">
        <f ca="1">E68/$E$21</f>
        <v>#REF!</v>
      </c>
      <c r="G68" s="161" t="e">
        <f ca="1">F68/$E$31</f>
        <v>#REF!</v>
      </c>
      <c r="H68" s="126" t="e">
        <f ca="1">F68/$E$37</f>
        <v>#REF!</v>
      </c>
      <c r="I68" s="127" t="e">
        <f ca="1">H68/$H$70</f>
        <v>#REF!</v>
      </c>
      <c r="J68" s="128" t="e">
        <f ca="1">H68/$H$72</f>
        <v>#REF!</v>
      </c>
      <c r="K68" s="156" t="e">
        <f>IO!#REF!</f>
        <v>#REF!</v>
      </c>
      <c r="L68" s="156" t="e">
        <f>IO!#REF!</f>
        <v>#REF!</v>
      </c>
      <c r="M68" s="156">
        <f>IO!K66</f>
        <v>1</v>
      </c>
      <c r="N68" s="10" t="e">
        <f ca="1">O68+O68*L68</f>
        <v>#REF!</v>
      </c>
      <c r="O68" s="10">
        <f ca="1">IF(IO!$E66=0,1,IO!$E66)</f>
        <v>42697172.121711612</v>
      </c>
      <c r="P68" s="10" t="e">
        <f ca="1">O68+O68*K68</f>
        <v>#REF!</v>
      </c>
      <c r="Q68" s="9" t="e">
        <f t="shared" ca="1" si="1"/>
        <v>#REF!</v>
      </c>
      <c r="R68" s="9" t="e">
        <f t="shared" ca="1" si="2"/>
        <v>#REF!</v>
      </c>
      <c r="S68" s="9" t="e">
        <f t="shared" ca="1" si="3"/>
        <v>#REF!</v>
      </c>
      <c r="T68" s="4">
        <f t="shared" ca="1" si="4"/>
        <v>0.56181006230228625</v>
      </c>
      <c r="V68" s="10" t="e">
        <f t="shared" ca="1" si="5"/>
        <v>#REF!</v>
      </c>
    </row>
    <row r="70" spans="3:22" x14ac:dyDescent="0.3">
      <c r="C70" s="27" t="s">
        <v>65</v>
      </c>
      <c r="D70" s="29"/>
      <c r="E70" s="37" t="e">
        <f ca="1">E68+E65</f>
        <v>#REF!</v>
      </c>
      <c r="F70" s="37" t="e">
        <f ca="1">F68+F65</f>
        <v>#REF!</v>
      </c>
      <c r="G70" s="37" t="e">
        <f ca="1">G68+G65</f>
        <v>#REF!</v>
      </c>
      <c r="H70" s="37" t="e">
        <f ca="1">H68+H65</f>
        <v>#REF!</v>
      </c>
      <c r="I70" s="101" t="e">
        <f ca="1">I65+I68</f>
        <v>#REF!</v>
      </c>
      <c r="J70" s="101" t="e">
        <f ca="1">J65+J68</f>
        <v>#REF!</v>
      </c>
    </row>
    <row r="72" spans="3:22" x14ac:dyDescent="0.3">
      <c r="C72" s="28" t="s">
        <v>54</v>
      </c>
      <c r="D72" s="28"/>
      <c r="E72" s="28"/>
      <c r="F72" s="28"/>
      <c r="G72" s="28"/>
      <c r="H72" s="37" t="e">
        <f ca="1">H70+H60</f>
        <v>#REF!</v>
      </c>
      <c r="I72" s="28"/>
      <c r="J72" s="28"/>
      <c r="K72" s="7"/>
      <c r="L72" s="7"/>
    </row>
    <row r="74" spans="3:22" x14ac:dyDescent="0.3">
      <c r="C74" s="28" t="s">
        <v>169</v>
      </c>
      <c r="D74" s="28"/>
      <c r="E74" s="37" t="e">
        <f t="shared" ref="E74:J74" ca="1" si="11">E45+E54+E68+E67+E57+E58</f>
        <v>#REF!</v>
      </c>
      <c r="F74" s="37" t="e">
        <f t="shared" ca="1" si="11"/>
        <v>#REF!</v>
      </c>
      <c r="G74" s="37" t="e">
        <f t="shared" ca="1" si="11"/>
        <v>#REF!</v>
      </c>
      <c r="H74" s="37" t="e">
        <f t="shared" ca="1" si="11"/>
        <v>#REF!</v>
      </c>
      <c r="I74" s="137" t="e">
        <f t="shared" ca="1" si="11"/>
        <v>#REF!</v>
      </c>
      <c r="J74" s="137" t="e">
        <f t="shared" ca="1" si="11"/>
        <v>#REF!</v>
      </c>
    </row>
    <row r="76" spans="3:22" x14ac:dyDescent="0.3">
      <c r="N76" s="4">
        <f>VLOOKUP(90%,K82:L176,2,TRUE)</f>
        <v>654.7488442105265</v>
      </c>
      <c r="O76" t="s">
        <v>198</v>
      </c>
    </row>
    <row r="77" spans="3:22" x14ac:dyDescent="0.3">
      <c r="E77" t="s">
        <v>176</v>
      </c>
      <c r="F77">
        <v>500</v>
      </c>
      <c r="G77" t="s">
        <v>199</v>
      </c>
      <c r="H77" t="s">
        <v>143</v>
      </c>
      <c r="N77" s="4">
        <f>VLOOKUP(50%,K82:L176,2,TRUE)</f>
        <v>578.83593473684198</v>
      </c>
      <c r="O77" t="s">
        <v>200</v>
      </c>
    </row>
    <row r="78" spans="3:22" x14ac:dyDescent="0.3">
      <c r="E78" t="s">
        <v>199</v>
      </c>
      <c r="G78">
        <v>1</v>
      </c>
      <c r="H78">
        <v>587.44349999999997</v>
      </c>
      <c r="N78" s="4">
        <f>VLOOKUP(10%,K82:L176,2,TRUE)</f>
        <v>493.433911578947</v>
      </c>
      <c r="O78" t="s">
        <v>201</v>
      </c>
    </row>
    <row r="79" spans="3:22" x14ac:dyDescent="0.3">
      <c r="E79" t="s">
        <v>202</v>
      </c>
      <c r="G79">
        <v>2</v>
      </c>
      <c r="H79">
        <v>595.6431</v>
      </c>
      <c r="N79" s="4">
        <f>VLOOKUP(99%,K83:L177,2,TRUE)</f>
        <v>721.17264000000046</v>
      </c>
      <c r="O79" t="s">
        <v>203</v>
      </c>
    </row>
    <row r="80" spans="3:22" x14ac:dyDescent="0.3">
      <c r="G80">
        <v>3</v>
      </c>
      <c r="H80">
        <v>517.24419999999998</v>
      </c>
      <c r="N80" s="4">
        <f>VLOOKUP(1%,K84:L178,2,TRUE)</f>
        <v>445.98834315789446</v>
      </c>
      <c r="O80" t="s">
        <v>204</v>
      </c>
    </row>
    <row r="81" spans="7:13" x14ac:dyDescent="0.3">
      <c r="G81">
        <v>4</v>
      </c>
      <c r="H81">
        <v>501.31470000000002</v>
      </c>
      <c r="J81" t="s">
        <v>206</v>
      </c>
      <c r="K81" t="s">
        <v>205</v>
      </c>
      <c r="L81" t="s">
        <v>143</v>
      </c>
      <c r="M81" t="s">
        <v>207</v>
      </c>
    </row>
    <row r="82" spans="7:13" x14ac:dyDescent="0.3">
      <c r="G82">
        <v>5</v>
      </c>
      <c r="H82">
        <v>626.56740000000002</v>
      </c>
      <c r="J82" s="5">
        <f>$J$176/95</f>
        <v>9.4891136842105261</v>
      </c>
      <c r="K82" s="35">
        <f>COUNTIF($H$78:$H$10000,"&lt;" &amp; J82)/$F$77</f>
        <v>0</v>
      </c>
      <c r="L82">
        <f>J82</f>
        <v>9.4891136842105261</v>
      </c>
      <c r="M82" s="35">
        <f>J82/$N$77</f>
        <v>1.6393442622950824E-2</v>
      </c>
    </row>
    <row r="83" spans="7:13" x14ac:dyDescent="0.3">
      <c r="G83">
        <v>6</v>
      </c>
      <c r="H83">
        <v>664.33280000000002</v>
      </c>
      <c r="J83" s="5">
        <f>$J$176/95+J82</f>
        <v>18.978227368421052</v>
      </c>
      <c r="K83" s="35">
        <f t="shared" ref="K83:K145" si="12">COUNTIF($H$78:$H$10000,"&lt;" &amp; J83)/$F$77</f>
        <v>0</v>
      </c>
      <c r="L83">
        <f t="shared" ref="L83:L146" si="13">J83</f>
        <v>18.978227368421052</v>
      </c>
      <c r="M83" s="35">
        <f t="shared" ref="M83:M146" si="14">J83/$N$77</f>
        <v>3.2786885245901648E-2</v>
      </c>
    </row>
    <row r="84" spans="7:13" x14ac:dyDescent="0.3">
      <c r="G84">
        <v>7</v>
      </c>
      <c r="H84">
        <v>501.43900000000002</v>
      </c>
      <c r="J84" s="5">
        <f t="shared" ref="J84:J147" si="15">$J$176/95+J83</f>
        <v>28.467341052631578</v>
      </c>
      <c r="K84" s="35">
        <f>COUNTIF($H$78:$H$10000,"&lt;" &amp; J84)/$F$77</f>
        <v>0</v>
      </c>
      <c r="L84">
        <f t="shared" si="13"/>
        <v>28.467341052631578</v>
      </c>
      <c r="M84" s="35">
        <f t="shared" si="14"/>
        <v>4.9180327868852472E-2</v>
      </c>
    </row>
    <row r="85" spans="7:13" x14ac:dyDescent="0.3">
      <c r="G85">
        <v>8</v>
      </c>
      <c r="H85">
        <v>672.26909999999998</v>
      </c>
      <c r="J85" s="5">
        <f t="shared" si="15"/>
        <v>37.956454736842105</v>
      </c>
      <c r="K85" s="35">
        <f t="shared" si="12"/>
        <v>0</v>
      </c>
      <c r="L85">
        <f t="shared" si="13"/>
        <v>37.956454736842105</v>
      </c>
      <c r="M85" s="35">
        <f t="shared" si="14"/>
        <v>6.5573770491803296E-2</v>
      </c>
    </row>
    <row r="86" spans="7:13" x14ac:dyDescent="0.3">
      <c r="G86">
        <v>9</v>
      </c>
      <c r="H86">
        <v>615.596</v>
      </c>
      <c r="J86" s="5">
        <f t="shared" si="15"/>
        <v>47.445568421052627</v>
      </c>
      <c r="K86" s="35">
        <f t="shared" si="12"/>
        <v>0</v>
      </c>
      <c r="L86">
        <f t="shared" si="13"/>
        <v>47.445568421052627</v>
      </c>
      <c r="M86" s="35">
        <f t="shared" si="14"/>
        <v>8.1967213114754106E-2</v>
      </c>
    </row>
    <row r="87" spans="7:13" x14ac:dyDescent="0.3">
      <c r="G87">
        <v>10</v>
      </c>
      <c r="H87">
        <v>590.22850000000005</v>
      </c>
      <c r="J87" s="5">
        <f t="shared" si="15"/>
        <v>56.93468210526315</v>
      </c>
      <c r="K87" s="35">
        <f t="shared" si="12"/>
        <v>0</v>
      </c>
      <c r="L87">
        <f t="shared" si="13"/>
        <v>56.93468210526315</v>
      </c>
      <c r="M87" s="35">
        <f t="shared" si="14"/>
        <v>9.836065573770493E-2</v>
      </c>
    </row>
    <row r="88" spans="7:13" x14ac:dyDescent="0.3">
      <c r="G88">
        <v>11</v>
      </c>
      <c r="H88">
        <v>434.31529999999998</v>
      </c>
      <c r="J88" s="5">
        <f t="shared" si="15"/>
        <v>66.423795789473672</v>
      </c>
      <c r="K88" s="35">
        <f t="shared" si="12"/>
        <v>0</v>
      </c>
      <c r="L88">
        <f t="shared" si="13"/>
        <v>66.423795789473672</v>
      </c>
      <c r="M88" s="35">
        <f t="shared" si="14"/>
        <v>0.11475409836065574</v>
      </c>
    </row>
    <row r="89" spans="7:13" x14ac:dyDescent="0.3">
      <c r="G89">
        <v>12</v>
      </c>
      <c r="H89">
        <v>690.61260000000004</v>
      </c>
      <c r="J89" s="5">
        <f t="shared" si="15"/>
        <v>75.912909473684195</v>
      </c>
      <c r="K89" s="35">
        <f t="shared" si="12"/>
        <v>0</v>
      </c>
      <c r="L89">
        <f t="shared" si="13"/>
        <v>75.912909473684195</v>
      </c>
      <c r="M89" s="35">
        <f t="shared" si="14"/>
        <v>0.13114754098360656</v>
      </c>
    </row>
    <row r="90" spans="7:13" x14ac:dyDescent="0.3">
      <c r="G90">
        <v>13</v>
      </c>
      <c r="H90">
        <v>634.2319</v>
      </c>
      <c r="J90" s="5">
        <f t="shared" si="15"/>
        <v>85.402023157894718</v>
      </c>
      <c r="K90" s="35">
        <f t="shared" si="12"/>
        <v>0</v>
      </c>
      <c r="L90">
        <f t="shared" si="13"/>
        <v>85.402023157894718</v>
      </c>
      <c r="M90" s="35">
        <f t="shared" si="14"/>
        <v>0.14754098360655737</v>
      </c>
    </row>
    <row r="91" spans="7:13" x14ac:dyDescent="0.3">
      <c r="G91">
        <v>14</v>
      </c>
      <c r="H91">
        <v>485.78730000000002</v>
      </c>
      <c r="J91" s="5">
        <f t="shared" si="15"/>
        <v>94.89113684210524</v>
      </c>
      <c r="K91" s="35">
        <f t="shared" si="12"/>
        <v>0</v>
      </c>
      <c r="L91">
        <f t="shared" si="13"/>
        <v>94.89113684210524</v>
      </c>
      <c r="M91" s="35">
        <f t="shared" si="14"/>
        <v>0.16393442622950818</v>
      </c>
    </row>
    <row r="92" spans="7:13" x14ac:dyDescent="0.3">
      <c r="G92">
        <v>15</v>
      </c>
      <c r="H92">
        <v>557.11099999999999</v>
      </c>
      <c r="J92" s="5">
        <f t="shared" si="15"/>
        <v>104.38025052631576</v>
      </c>
      <c r="K92" s="35">
        <f t="shared" si="12"/>
        <v>0</v>
      </c>
      <c r="L92">
        <f t="shared" si="13"/>
        <v>104.38025052631576</v>
      </c>
      <c r="M92" s="35">
        <f t="shared" si="14"/>
        <v>0.18032786885245902</v>
      </c>
    </row>
    <row r="93" spans="7:13" x14ac:dyDescent="0.3">
      <c r="G93">
        <v>16</v>
      </c>
      <c r="H93">
        <v>652.01369999999997</v>
      </c>
      <c r="J93" s="5">
        <f t="shared" si="15"/>
        <v>113.86936421052629</v>
      </c>
      <c r="K93" s="35">
        <f t="shared" si="12"/>
        <v>0</v>
      </c>
      <c r="L93">
        <f t="shared" si="13"/>
        <v>113.86936421052629</v>
      </c>
      <c r="M93" s="35">
        <f t="shared" si="14"/>
        <v>0.19672131147540983</v>
      </c>
    </row>
    <row r="94" spans="7:13" x14ac:dyDescent="0.3">
      <c r="G94">
        <v>17</v>
      </c>
      <c r="H94">
        <v>534.43520000000001</v>
      </c>
      <c r="J94" s="5">
        <f t="shared" si="15"/>
        <v>123.35847789473681</v>
      </c>
      <c r="K94" s="35">
        <f t="shared" si="12"/>
        <v>0</v>
      </c>
      <c r="L94">
        <f t="shared" si="13"/>
        <v>123.35847789473681</v>
      </c>
      <c r="M94" s="35">
        <f t="shared" si="14"/>
        <v>0.21311475409836064</v>
      </c>
    </row>
    <row r="95" spans="7:13" x14ac:dyDescent="0.3">
      <c r="G95">
        <v>18</v>
      </c>
      <c r="H95">
        <v>579.28629999999998</v>
      </c>
      <c r="J95" s="5">
        <f t="shared" si="15"/>
        <v>132.84759157894734</v>
      </c>
      <c r="K95" s="35">
        <f t="shared" si="12"/>
        <v>0</v>
      </c>
      <c r="L95">
        <f t="shared" si="13"/>
        <v>132.84759157894734</v>
      </c>
      <c r="M95" s="35">
        <f t="shared" si="14"/>
        <v>0.22950819672131148</v>
      </c>
    </row>
    <row r="96" spans="7:13" x14ac:dyDescent="0.3">
      <c r="G96">
        <v>19</v>
      </c>
      <c r="H96">
        <v>586.23590000000002</v>
      </c>
      <c r="J96" s="5">
        <f t="shared" si="15"/>
        <v>142.33670526315788</v>
      </c>
      <c r="K96" s="35">
        <f t="shared" si="12"/>
        <v>0</v>
      </c>
      <c r="L96">
        <f t="shared" si="13"/>
        <v>142.33670526315788</v>
      </c>
      <c r="M96" s="35">
        <f t="shared" si="14"/>
        <v>0.24590163934426232</v>
      </c>
    </row>
    <row r="97" spans="7:13" x14ac:dyDescent="0.3">
      <c r="G97">
        <v>20</v>
      </c>
      <c r="H97">
        <v>557.41800000000001</v>
      </c>
      <c r="J97" s="5">
        <f t="shared" si="15"/>
        <v>151.82581894736842</v>
      </c>
      <c r="K97" s="35">
        <f t="shared" si="12"/>
        <v>0</v>
      </c>
      <c r="L97">
        <f t="shared" si="13"/>
        <v>151.82581894736842</v>
      </c>
      <c r="M97" s="35">
        <f t="shared" si="14"/>
        <v>0.26229508196721318</v>
      </c>
    </row>
    <row r="98" spans="7:13" x14ac:dyDescent="0.3">
      <c r="G98">
        <v>21</v>
      </c>
      <c r="H98">
        <v>656.78449999999998</v>
      </c>
      <c r="J98" s="5">
        <f t="shared" si="15"/>
        <v>161.31493263157896</v>
      </c>
      <c r="K98" s="35">
        <f t="shared" si="12"/>
        <v>0</v>
      </c>
      <c r="L98">
        <f t="shared" si="13"/>
        <v>161.31493263157896</v>
      </c>
      <c r="M98" s="35">
        <f t="shared" si="14"/>
        <v>0.27868852459016402</v>
      </c>
    </row>
    <row r="99" spans="7:13" x14ac:dyDescent="0.3">
      <c r="G99">
        <v>22</v>
      </c>
      <c r="H99">
        <v>473.8571</v>
      </c>
      <c r="J99" s="5">
        <f t="shared" si="15"/>
        <v>170.80404631578949</v>
      </c>
      <c r="K99" s="35">
        <f t="shared" si="12"/>
        <v>0</v>
      </c>
      <c r="L99">
        <f t="shared" si="13"/>
        <v>170.80404631578949</v>
      </c>
      <c r="M99" s="35">
        <f t="shared" si="14"/>
        <v>0.29508196721311486</v>
      </c>
    </row>
    <row r="100" spans="7:13" x14ac:dyDescent="0.3">
      <c r="G100">
        <v>23</v>
      </c>
      <c r="H100">
        <v>715.52380000000005</v>
      </c>
      <c r="J100" s="5">
        <f t="shared" si="15"/>
        <v>180.29316000000003</v>
      </c>
      <c r="K100" s="35">
        <f t="shared" si="12"/>
        <v>0</v>
      </c>
      <c r="L100">
        <f t="shared" si="13"/>
        <v>180.29316000000003</v>
      </c>
      <c r="M100" s="35">
        <f t="shared" si="14"/>
        <v>0.3114754098360657</v>
      </c>
    </row>
    <row r="101" spans="7:13" x14ac:dyDescent="0.3">
      <c r="G101">
        <v>24</v>
      </c>
      <c r="H101">
        <v>692.45029999999997</v>
      </c>
      <c r="J101" s="5">
        <f t="shared" si="15"/>
        <v>189.78227368421057</v>
      </c>
      <c r="K101" s="35">
        <f t="shared" si="12"/>
        <v>0</v>
      </c>
      <c r="L101">
        <f t="shared" si="13"/>
        <v>189.78227368421057</v>
      </c>
      <c r="M101" s="35">
        <f t="shared" si="14"/>
        <v>0.32786885245901654</v>
      </c>
    </row>
    <row r="102" spans="7:13" x14ac:dyDescent="0.3">
      <c r="G102">
        <v>25</v>
      </c>
      <c r="H102">
        <v>535.3279</v>
      </c>
      <c r="J102" s="5">
        <f t="shared" si="15"/>
        <v>199.2713873684211</v>
      </c>
      <c r="K102" s="35">
        <f t="shared" si="12"/>
        <v>0</v>
      </c>
      <c r="L102">
        <f t="shared" si="13"/>
        <v>199.2713873684211</v>
      </c>
      <c r="M102" s="35">
        <f t="shared" si="14"/>
        <v>0.34426229508196737</v>
      </c>
    </row>
    <row r="103" spans="7:13" x14ac:dyDescent="0.3">
      <c r="G103">
        <v>26</v>
      </c>
      <c r="H103">
        <v>590.83500000000004</v>
      </c>
      <c r="J103" s="5">
        <f t="shared" si="15"/>
        <v>208.76050105263164</v>
      </c>
      <c r="K103" s="35">
        <f t="shared" si="12"/>
        <v>0</v>
      </c>
      <c r="L103">
        <f t="shared" si="13"/>
        <v>208.76050105263164</v>
      </c>
      <c r="M103" s="35">
        <f t="shared" si="14"/>
        <v>0.36065573770491821</v>
      </c>
    </row>
    <row r="104" spans="7:13" x14ac:dyDescent="0.3">
      <c r="G104">
        <v>27</v>
      </c>
      <c r="H104">
        <v>603.65250000000003</v>
      </c>
      <c r="J104" s="5">
        <f t="shared" si="15"/>
        <v>218.24961473684218</v>
      </c>
      <c r="K104" s="35">
        <f t="shared" si="12"/>
        <v>0</v>
      </c>
      <c r="L104">
        <f t="shared" si="13"/>
        <v>218.24961473684218</v>
      </c>
      <c r="M104" s="35">
        <f t="shared" si="14"/>
        <v>0.37704918032786905</v>
      </c>
    </row>
    <row r="105" spans="7:13" x14ac:dyDescent="0.3">
      <c r="G105">
        <v>28</v>
      </c>
      <c r="H105">
        <v>543.37059999999997</v>
      </c>
      <c r="J105" s="5">
        <f t="shared" si="15"/>
        <v>227.73872842105271</v>
      </c>
      <c r="K105" s="35">
        <f t="shared" si="12"/>
        <v>0</v>
      </c>
      <c r="L105">
        <f t="shared" si="13"/>
        <v>227.73872842105271</v>
      </c>
      <c r="M105" s="35">
        <f t="shared" si="14"/>
        <v>0.39344262295081989</v>
      </c>
    </row>
    <row r="106" spans="7:13" x14ac:dyDescent="0.3">
      <c r="G106">
        <v>29</v>
      </c>
      <c r="H106">
        <v>588.15980000000002</v>
      </c>
      <c r="J106" s="5">
        <f t="shared" si="15"/>
        <v>237.22784210526325</v>
      </c>
      <c r="K106" s="35">
        <f t="shared" si="12"/>
        <v>0</v>
      </c>
      <c r="L106">
        <f t="shared" si="13"/>
        <v>237.22784210526325</v>
      </c>
      <c r="M106" s="35">
        <f t="shared" si="14"/>
        <v>0.40983606557377072</v>
      </c>
    </row>
    <row r="107" spans="7:13" x14ac:dyDescent="0.3">
      <c r="G107">
        <v>30</v>
      </c>
      <c r="H107">
        <v>571.11869999999999</v>
      </c>
      <c r="J107" s="5">
        <f t="shared" si="15"/>
        <v>246.71695578947379</v>
      </c>
      <c r="K107" s="35">
        <f t="shared" si="12"/>
        <v>0</v>
      </c>
      <c r="L107">
        <f t="shared" si="13"/>
        <v>246.71695578947379</v>
      </c>
      <c r="M107" s="35">
        <f t="shared" si="14"/>
        <v>0.42622950819672156</v>
      </c>
    </row>
    <row r="108" spans="7:13" x14ac:dyDescent="0.3">
      <c r="G108">
        <v>31</v>
      </c>
      <c r="H108">
        <v>635.97929999999997</v>
      </c>
      <c r="J108" s="5">
        <f t="shared" si="15"/>
        <v>256.20606947368429</v>
      </c>
      <c r="K108" s="35">
        <f t="shared" si="12"/>
        <v>0</v>
      </c>
      <c r="L108">
        <f t="shared" si="13"/>
        <v>256.20606947368429</v>
      </c>
      <c r="M108" s="35">
        <f t="shared" si="14"/>
        <v>0.4426229508196724</v>
      </c>
    </row>
    <row r="109" spans="7:13" x14ac:dyDescent="0.3">
      <c r="G109">
        <v>32</v>
      </c>
      <c r="H109">
        <v>618.63829999999996</v>
      </c>
      <c r="J109" s="5">
        <f t="shared" si="15"/>
        <v>265.6951831578948</v>
      </c>
      <c r="K109" s="35">
        <f t="shared" si="12"/>
        <v>0</v>
      </c>
      <c r="L109">
        <f t="shared" si="13"/>
        <v>265.6951831578948</v>
      </c>
      <c r="M109" s="35">
        <f t="shared" si="14"/>
        <v>0.45901639344262318</v>
      </c>
    </row>
    <row r="110" spans="7:13" x14ac:dyDescent="0.3">
      <c r="G110">
        <v>33</v>
      </c>
      <c r="H110">
        <v>580.05560000000003</v>
      </c>
      <c r="J110" s="5">
        <f t="shared" si="15"/>
        <v>275.18429684210531</v>
      </c>
      <c r="K110" s="35">
        <f t="shared" si="12"/>
        <v>0</v>
      </c>
      <c r="L110">
        <f t="shared" si="13"/>
        <v>275.18429684210531</v>
      </c>
      <c r="M110" s="35">
        <f t="shared" si="14"/>
        <v>0.47540983606557397</v>
      </c>
    </row>
    <row r="111" spans="7:13" x14ac:dyDescent="0.3">
      <c r="G111">
        <v>34</v>
      </c>
      <c r="H111">
        <v>509.98860000000002</v>
      </c>
      <c r="J111" s="5">
        <f t="shared" si="15"/>
        <v>284.67341052631582</v>
      </c>
      <c r="K111" s="35">
        <f t="shared" si="12"/>
        <v>0</v>
      </c>
      <c r="L111">
        <f t="shared" si="13"/>
        <v>284.67341052631582</v>
      </c>
      <c r="M111" s="35">
        <f t="shared" si="14"/>
        <v>0.49180327868852475</v>
      </c>
    </row>
    <row r="112" spans="7:13" x14ac:dyDescent="0.3">
      <c r="G112">
        <v>35</v>
      </c>
      <c r="H112">
        <v>549.90440000000001</v>
      </c>
      <c r="J112" s="5">
        <f t="shared" si="15"/>
        <v>294.16252421052633</v>
      </c>
      <c r="K112" s="35">
        <f t="shared" si="12"/>
        <v>0</v>
      </c>
      <c r="L112">
        <f t="shared" si="13"/>
        <v>294.16252421052633</v>
      </c>
      <c r="M112" s="35">
        <f t="shared" si="14"/>
        <v>0.50819672131147553</v>
      </c>
    </row>
    <row r="113" spans="7:13" x14ac:dyDescent="0.3">
      <c r="G113">
        <v>36</v>
      </c>
      <c r="H113">
        <v>551.46709999999996</v>
      </c>
      <c r="J113" s="5">
        <f t="shared" si="15"/>
        <v>303.65163789473684</v>
      </c>
      <c r="K113" s="35">
        <f t="shared" si="12"/>
        <v>0</v>
      </c>
      <c r="L113">
        <f t="shared" si="13"/>
        <v>303.65163789473684</v>
      </c>
      <c r="M113" s="35">
        <f t="shared" si="14"/>
        <v>0.52459016393442637</v>
      </c>
    </row>
    <row r="114" spans="7:13" x14ac:dyDescent="0.3">
      <c r="G114">
        <v>37</v>
      </c>
      <c r="H114">
        <v>547.93230000000005</v>
      </c>
      <c r="J114" s="5">
        <f t="shared" si="15"/>
        <v>313.14075157894735</v>
      </c>
      <c r="K114" s="35">
        <f t="shared" si="12"/>
        <v>0</v>
      </c>
      <c r="L114">
        <f t="shared" si="13"/>
        <v>313.14075157894735</v>
      </c>
      <c r="M114" s="35">
        <f t="shared" si="14"/>
        <v>0.54098360655737709</v>
      </c>
    </row>
    <row r="115" spans="7:13" x14ac:dyDescent="0.3">
      <c r="G115">
        <v>38</v>
      </c>
      <c r="H115">
        <v>608.197</v>
      </c>
      <c r="J115" s="5">
        <f t="shared" si="15"/>
        <v>322.62986526315785</v>
      </c>
      <c r="K115" s="35">
        <f t="shared" si="12"/>
        <v>0</v>
      </c>
      <c r="L115">
        <f t="shared" si="13"/>
        <v>322.62986526315785</v>
      </c>
      <c r="M115" s="35">
        <f t="shared" si="14"/>
        <v>0.55737704918032793</v>
      </c>
    </row>
    <row r="116" spans="7:13" x14ac:dyDescent="0.3">
      <c r="G116">
        <v>39</v>
      </c>
      <c r="H116">
        <v>689.7586</v>
      </c>
      <c r="J116" s="5">
        <f t="shared" si="15"/>
        <v>332.11897894736836</v>
      </c>
      <c r="K116" s="35">
        <f t="shared" si="12"/>
        <v>0</v>
      </c>
      <c r="L116">
        <f t="shared" si="13"/>
        <v>332.11897894736836</v>
      </c>
      <c r="M116" s="35">
        <f t="shared" si="14"/>
        <v>0.57377049180327866</v>
      </c>
    </row>
    <row r="117" spans="7:13" x14ac:dyDescent="0.3">
      <c r="G117">
        <v>40</v>
      </c>
      <c r="H117">
        <v>569.24469999999997</v>
      </c>
      <c r="J117" s="5">
        <f t="shared" si="15"/>
        <v>341.60809263157887</v>
      </c>
      <c r="K117" s="35">
        <f t="shared" si="12"/>
        <v>0</v>
      </c>
      <c r="L117">
        <f t="shared" si="13"/>
        <v>341.60809263157887</v>
      </c>
      <c r="M117" s="35">
        <f t="shared" si="14"/>
        <v>0.5901639344262295</v>
      </c>
    </row>
    <row r="118" spans="7:13" x14ac:dyDescent="0.3">
      <c r="G118">
        <v>41</v>
      </c>
      <c r="H118">
        <v>581.37170000000003</v>
      </c>
      <c r="J118" s="5">
        <f t="shared" si="15"/>
        <v>351.09720631578938</v>
      </c>
      <c r="K118" s="35">
        <f t="shared" si="12"/>
        <v>0</v>
      </c>
      <c r="L118">
        <f t="shared" si="13"/>
        <v>351.09720631578938</v>
      </c>
      <c r="M118" s="35">
        <f t="shared" si="14"/>
        <v>0.60655737704918034</v>
      </c>
    </row>
    <row r="119" spans="7:13" x14ac:dyDescent="0.3">
      <c r="G119">
        <v>42</v>
      </c>
      <c r="H119">
        <v>458.02069999999998</v>
      </c>
      <c r="J119" s="5">
        <f t="shared" si="15"/>
        <v>360.58631999999989</v>
      </c>
      <c r="K119" s="35">
        <f t="shared" si="12"/>
        <v>0</v>
      </c>
      <c r="L119">
        <f t="shared" si="13"/>
        <v>360.58631999999989</v>
      </c>
      <c r="M119" s="35">
        <f t="shared" si="14"/>
        <v>0.62295081967213106</v>
      </c>
    </row>
    <row r="120" spans="7:13" x14ac:dyDescent="0.3">
      <c r="G120">
        <v>43</v>
      </c>
      <c r="H120">
        <v>536.07259999999997</v>
      </c>
      <c r="J120" s="5">
        <f t="shared" si="15"/>
        <v>370.0754336842104</v>
      </c>
      <c r="K120" s="35">
        <f t="shared" si="12"/>
        <v>0</v>
      </c>
      <c r="L120">
        <f t="shared" si="13"/>
        <v>370.0754336842104</v>
      </c>
      <c r="M120" s="35">
        <f t="shared" si="14"/>
        <v>0.6393442622950819</v>
      </c>
    </row>
    <row r="121" spans="7:13" x14ac:dyDescent="0.3">
      <c r="G121">
        <v>44</v>
      </c>
      <c r="H121">
        <v>595.88850000000002</v>
      </c>
      <c r="J121" s="5">
        <f t="shared" si="15"/>
        <v>379.5645473684209</v>
      </c>
      <c r="K121" s="35">
        <f t="shared" si="12"/>
        <v>0</v>
      </c>
      <c r="L121">
        <f t="shared" si="13"/>
        <v>379.5645473684209</v>
      </c>
      <c r="M121" s="35">
        <f t="shared" si="14"/>
        <v>0.65573770491803263</v>
      </c>
    </row>
    <row r="122" spans="7:13" x14ac:dyDescent="0.3">
      <c r="G122">
        <v>45</v>
      </c>
      <c r="H122">
        <v>467.42669999999998</v>
      </c>
      <c r="J122" s="5">
        <f t="shared" si="15"/>
        <v>389.05366105263141</v>
      </c>
      <c r="K122" s="35">
        <f t="shared" si="12"/>
        <v>0</v>
      </c>
      <c r="L122">
        <f t="shared" si="13"/>
        <v>389.05366105263141</v>
      </c>
      <c r="M122" s="35">
        <f t="shared" si="14"/>
        <v>0.67213114754098346</v>
      </c>
    </row>
    <row r="123" spans="7:13" x14ac:dyDescent="0.3">
      <c r="G123">
        <v>46</v>
      </c>
      <c r="H123">
        <v>456.4341</v>
      </c>
      <c r="J123" s="5">
        <f t="shared" si="15"/>
        <v>398.54277473684192</v>
      </c>
      <c r="K123" s="35">
        <f t="shared" si="12"/>
        <v>0</v>
      </c>
      <c r="L123">
        <f t="shared" si="13"/>
        <v>398.54277473684192</v>
      </c>
      <c r="M123" s="35">
        <f t="shared" si="14"/>
        <v>0.6885245901639343</v>
      </c>
    </row>
    <row r="124" spans="7:13" x14ac:dyDescent="0.3">
      <c r="G124">
        <v>47</v>
      </c>
      <c r="H124">
        <v>520.45479999999998</v>
      </c>
      <c r="J124" s="5">
        <f t="shared" si="15"/>
        <v>408.03188842105243</v>
      </c>
      <c r="K124" s="35">
        <f t="shared" si="12"/>
        <v>0</v>
      </c>
      <c r="L124">
        <f t="shared" si="13"/>
        <v>408.03188842105243</v>
      </c>
      <c r="M124" s="35">
        <f t="shared" si="14"/>
        <v>0.70491803278688503</v>
      </c>
    </row>
    <row r="125" spans="7:13" x14ac:dyDescent="0.3">
      <c r="G125">
        <v>48</v>
      </c>
      <c r="H125">
        <v>500.64269999999999</v>
      </c>
      <c r="J125" s="5">
        <f t="shared" si="15"/>
        <v>417.52100210526294</v>
      </c>
      <c r="K125" s="35">
        <f t="shared" si="12"/>
        <v>0</v>
      </c>
      <c r="L125">
        <f t="shared" si="13"/>
        <v>417.52100210526294</v>
      </c>
      <c r="M125" s="35">
        <f t="shared" si="14"/>
        <v>0.72131147540983587</v>
      </c>
    </row>
    <row r="126" spans="7:13" x14ac:dyDescent="0.3">
      <c r="G126">
        <v>49</v>
      </c>
      <c r="H126">
        <v>565.95839999999998</v>
      </c>
      <c r="J126" s="5">
        <f t="shared" si="15"/>
        <v>427.01011578947345</v>
      </c>
      <c r="K126" s="35">
        <f t="shared" si="12"/>
        <v>0</v>
      </c>
      <c r="L126">
        <f t="shared" si="13"/>
        <v>427.01011578947345</v>
      </c>
      <c r="M126" s="35">
        <f t="shared" si="14"/>
        <v>0.73770491803278659</v>
      </c>
    </row>
    <row r="127" spans="7:13" x14ac:dyDescent="0.3">
      <c r="G127">
        <v>50</v>
      </c>
      <c r="H127">
        <v>643.7346</v>
      </c>
      <c r="J127" s="5">
        <f t="shared" si="15"/>
        <v>436.49922947368395</v>
      </c>
      <c r="K127" s="35">
        <f t="shared" si="12"/>
        <v>4.0000000000000001E-3</v>
      </c>
      <c r="L127">
        <f t="shared" si="13"/>
        <v>436.49922947368395</v>
      </c>
      <c r="M127" s="35">
        <f t="shared" si="14"/>
        <v>0.75409836065573743</v>
      </c>
    </row>
    <row r="128" spans="7:13" x14ac:dyDescent="0.3">
      <c r="G128">
        <v>51</v>
      </c>
      <c r="H128">
        <v>636.23649999999998</v>
      </c>
      <c r="J128" s="5">
        <f t="shared" si="15"/>
        <v>445.98834315789446</v>
      </c>
      <c r="K128" s="35">
        <f t="shared" si="12"/>
        <v>6.0000000000000001E-3</v>
      </c>
      <c r="L128">
        <f t="shared" si="13"/>
        <v>445.98834315789446</v>
      </c>
      <c r="M128" s="35">
        <f t="shared" si="14"/>
        <v>0.77049180327868827</v>
      </c>
    </row>
    <row r="129" spans="7:13" x14ac:dyDescent="0.3">
      <c r="G129">
        <v>52</v>
      </c>
      <c r="H129">
        <v>693.32320000000004</v>
      </c>
      <c r="J129" s="5">
        <f t="shared" si="15"/>
        <v>455.47745684210497</v>
      </c>
      <c r="K129" s="35">
        <f t="shared" si="12"/>
        <v>1.2E-2</v>
      </c>
      <c r="L129">
        <f t="shared" si="13"/>
        <v>455.47745684210497</v>
      </c>
      <c r="M129" s="35">
        <f t="shared" si="14"/>
        <v>0.786885245901639</v>
      </c>
    </row>
    <row r="130" spans="7:13" x14ac:dyDescent="0.3">
      <c r="G130">
        <v>53</v>
      </c>
      <c r="H130">
        <v>554.875</v>
      </c>
      <c r="J130" s="5">
        <f t="shared" si="15"/>
        <v>464.96657052631548</v>
      </c>
      <c r="K130" s="35">
        <f t="shared" si="12"/>
        <v>2.8000000000000001E-2</v>
      </c>
      <c r="L130">
        <f t="shared" si="13"/>
        <v>464.96657052631548</v>
      </c>
      <c r="M130" s="35">
        <f t="shared" si="14"/>
        <v>0.80327868852458983</v>
      </c>
    </row>
    <row r="131" spans="7:13" x14ac:dyDescent="0.3">
      <c r="G131">
        <v>54</v>
      </c>
      <c r="H131">
        <v>666.80920000000003</v>
      </c>
      <c r="J131" s="5">
        <f t="shared" si="15"/>
        <v>474.45568421052599</v>
      </c>
      <c r="K131" s="35">
        <f t="shared" si="12"/>
        <v>0.04</v>
      </c>
      <c r="L131">
        <f t="shared" si="13"/>
        <v>474.45568421052599</v>
      </c>
      <c r="M131" s="35">
        <f t="shared" si="14"/>
        <v>0.81967213114754056</v>
      </c>
    </row>
    <row r="132" spans="7:13" x14ac:dyDescent="0.3">
      <c r="G132">
        <v>55</v>
      </c>
      <c r="H132">
        <v>599.09180000000003</v>
      </c>
      <c r="J132" s="5">
        <f t="shared" si="15"/>
        <v>483.9447978947365</v>
      </c>
      <c r="K132" s="35">
        <f t="shared" si="12"/>
        <v>6.8000000000000005E-2</v>
      </c>
      <c r="L132">
        <f t="shared" si="13"/>
        <v>483.9447978947365</v>
      </c>
      <c r="M132" s="35">
        <f t="shared" si="14"/>
        <v>0.8360655737704914</v>
      </c>
    </row>
    <row r="133" spans="7:13" x14ac:dyDescent="0.3">
      <c r="G133">
        <v>56</v>
      </c>
      <c r="H133">
        <v>526.99180000000001</v>
      </c>
      <c r="J133" s="5">
        <f t="shared" si="15"/>
        <v>493.433911578947</v>
      </c>
      <c r="K133" s="35">
        <f t="shared" si="12"/>
        <v>9.1999999999999998E-2</v>
      </c>
      <c r="L133">
        <f t="shared" si="13"/>
        <v>493.433911578947</v>
      </c>
      <c r="M133" s="35">
        <f t="shared" si="14"/>
        <v>0.85245901639344224</v>
      </c>
    </row>
    <row r="134" spans="7:13" x14ac:dyDescent="0.3">
      <c r="G134">
        <v>57</v>
      </c>
      <c r="H134">
        <v>521.11890000000005</v>
      </c>
      <c r="J134" s="5">
        <f t="shared" si="15"/>
        <v>502.92302526315751</v>
      </c>
      <c r="K134" s="35">
        <f t="shared" si="12"/>
        <v>0.12</v>
      </c>
      <c r="L134">
        <f t="shared" si="13"/>
        <v>502.92302526315751</v>
      </c>
      <c r="M134" s="35">
        <f t="shared" si="14"/>
        <v>0.86885245901639296</v>
      </c>
    </row>
    <row r="135" spans="7:13" x14ac:dyDescent="0.3">
      <c r="G135">
        <v>58</v>
      </c>
      <c r="H135">
        <v>660.35379999999998</v>
      </c>
      <c r="J135" s="5">
        <f t="shared" si="15"/>
        <v>512.41213894736802</v>
      </c>
      <c r="K135" s="35">
        <f t="shared" si="12"/>
        <v>0.152</v>
      </c>
      <c r="L135">
        <f t="shared" si="13"/>
        <v>512.41213894736802</v>
      </c>
      <c r="M135" s="35">
        <f t="shared" si="14"/>
        <v>0.8852459016393438</v>
      </c>
    </row>
    <row r="136" spans="7:13" x14ac:dyDescent="0.3">
      <c r="G136">
        <v>59</v>
      </c>
      <c r="H136">
        <v>642.12900000000002</v>
      </c>
      <c r="J136" s="5">
        <f t="shared" si="15"/>
        <v>521.90125263157859</v>
      </c>
      <c r="K136" s="35">
        <f t="shared" si="12"/>
        <v>0.186</v>
      </c>
      <c r="L136">
        <f t="shared" si="13"/>
        <v>521.90125263157859</v>
      </c>
      <c r="M136" s="35">
        <f t="shared" si="14"/>
        <v>0.90163934426229464</v>
      </c>
    </row>
    <row r="137" spans="7:13" x14ac:dyDescent="0.3">
      <c r="G137">
        <v>60</v>
      </c>
      <c r="H137">
        <v>630.34709999999995</v>
      </c>
      <c r="J137" s="5">
        <f t="shared" si="15"/>
        <v>531.39036631578915</v>
      </c>
      <c r="K137" s="35">
        <f t="shared" si="12"/>
        <v>0.224</v>
      </c>
      <c r="L137">
        <f t="shared" si="13"/>
        <v>531.39036631578915</v>
      </c>
      <c r="M137" s="35">
        <f t="shared" si="14"/>
        <v>0.91803278688524559</v>
      </c>
    </row>
    <row r="138" spans="7:13" x14ac:dyDescent="0.3">
      <c r="G138">
        <v>61</v>
      </c>
      <c r="H138">
        <v>531.29719999999998</v>
      </c>
      <c r="J138" s="5">
        <f t="shared" si="15"/>
        <v>540.87947999999972</v>
      </c>
      <c r="K138" s="35">
        <f t="shared" si="12"/>
        <v>0.27200000000000002</v>
      </c>
      <c r="L138">
        <f t="shared" si="13"/>
        <v>540.87947999999972</v>
      </c>
      <c r="M138" s="35">
        <f t="shared" si="14"/>
        <v>0.93442622950819643</v>
      </c>
    </row>
    <row r="139" spans="7:13" x14ac:dyDescent="0.3">
      <c r="G139">
        <v>62</v>
      </c>
      <c r="H139">
        <v>646.77750000000003</v>
      </c>
      <c r="J139" s="5">
        <f t="shared" si="15"/>
        <v>550.36859368421028</v>
      </c>
      <c r="K139" s="35">
        <f t="shared" si="12"/>
        <v>0.32600000000000001</v>
      </c>
      <c r="L139">
        <f t="shared" si="13"/>
        <v>550.36859368421028</v>
      </c>
      <c r="M139" s="35">
        <f t="shared" si="14"/>
        <v>0.95081967213114738</v>
      </c>
    </row>
    <row r="140" spans="7:13" x14ac:dyDescent="0.3">
      <c r="G140">
        <v>63</v>
      </c>
      <c r="H140">
        <v>640.51549999999997</v>
      </c>
      <c r="J140" s="5">
        <f t="shared" si="15"/>
        <v>559.85770736842085</v>
      </c>
      <c r="K140" s="35">
        <f t="shared" si="12"/>
        <v>0.38200000000000001</v>
      </c>
      <c r="L140">
        <f t="shared" si="13"/>
        <v>559.85770736842085</v>
      </c>
      <c r="M140" s="35">
        <f t="shared" si="14"/>
        <v>0.96721311475409821</v>
      </c>
    </row>
    <row r="141" spans="7:13" x14ac:dyDescent="0.3">
      <c r="G141">
        <v>64</v>
      </c>
      <c r="H141">
        <v>661.01110000000006</v>
      </c>
      <c r="J141" s="5">
        <f t="shared" si="15"/>
        <v>569.34682105263141</v>
      </c>
      <c r="K141" s="35">
        <f t="shared" si="12"/>
        <v>0.45400000000000001</v>
      </c>
      <c r="L141">
        <f t="shared" si="13"/>
        <v>569.34682105263141</v>
      </c>
      <c r="M141" s="35">
        <f t="shared" si="14"/>
        <v>0.98360655737704916</v>
      </c>
    </row>
    <row r="142" spans="7:13" x14ac:dyDescent="0.3">
      <c r="G142">
        <v>65</v>
      </c>
      <c r="H142">
        <v>670.08429999999998</v>
      </c>
      <c r="J142" s="5">
        <f t="shared" si="15"/>
        <v>578.83593473684198</v>
      </c>
      <c r="K142" s="35">
        <f t="shared" si="12"/>
        <v>0.5</v>
      </c>
      <c r="L142">
        <f t="shared" si="13"/>
        <v>578.83593473684198</v>
      </c>
      <c r="M142" s="35">
        <f t="shared" si="14"/>
        <v>1</v>
      </c>
    </row>
    <row r="143" spans="7:13" x14ac:dyDescent="0.3">
      <c r="G143">
        <v>66</v>
      </c>
      <c r="H143">
        <v>613.13670000000002</v>
      </c>
      <c r="J143" s="5">
        <f t="shared" si="15"/>
        <v>588.32504842105254</v>
      </c>
      <c r="K143" s="35">
        <f t="shared" si="12"/>
        <v>0.55200000000000005</v>
      </c>
      <c r="L143">
        <f t="shared" si="13"/>
        <v>588.32504842105254</v>
      </c>
      <c r="M143" s="35">
        <f t="shared" si="14"/>
        <v>1.0163934426229508</v>
      </c>
    </row>
    <row r="144" spans="7:13" x14ac:dyDescent="0.3">
      <c r="G144">
        <v>67</v>
      </c>
      <c r="H144">
        <v>544.67769999999996</v>
      </c>
      <c r="J144" s="5">
        <f t="shared" si="15"/>
        <v>597.81416210526311</v>
      </c>
      <c r="K144" s="35">
        <f t="shared" si="12"/>
        <v>0.60799999999999998</v>
      </c>
      <c r="L144">
        <f t="shared" si="13"/>
        <v>597.81416210526311</v>
      </c>
      <c r="M144" s="35">
        <f t="shared" si="14"/>
        <v>1.0327868852459017</v>
      </c>
    </row>
    <row r="145" spans="7:13" x14ac:dyDescent="0.3">
      <c r="G145">
        <v>68</v>
      </c>
      <c r="H145">
        <v>616.18579999999997</v>
      </c>
      <c r="J145" s="5">
        <f t="shared" si="15"/>
        <v>607.30327578947367</v>
      </c>
      <c r="K145" s="35">
        <f t="shared" si="12"/>
        <v>0.65800000000000003</v>
      </c>
      <c r="L145">
        <f t="shared" si="13"/>
        <v>607.30327578947367</v>
      </c>
      <c r="M145" s="35">
        <f t="shared" si="14"/>
        <v>1.0491803278688527</v>
      </c>
    </row>
    <row r="146" spans="7:13" x14ac:dyDescent="0.3">
      <c r="G146">
        <v>69</v>
      </c>
      <c r="H146">
        <v>655.50199999999995</v>
      </c>
      <c r="J146" s="5">
        <f t="shared" si="15"/>
        <v>616.79238947368424</v>
      </c>
      <c r="K146" s="35">
        <f t="shared" ref="K146:K176" si="16">COUNTIF($H$78:$H$10000,"&lt;" &amp; J146)/$F$77</f>
        <v>0.70599999999999996</v>
      </c>
      <c r="L146">
        <f t="shared" si="13"/>
        <v>616.79238947368424</v>
      </c>
      <c r="M146" s="35">
        <f t="shared" si="14"/>
        <v>1.0655737704918036</v>
      </c>
    </row>
    <row r="147" spans="7:13" x14ac:dyDescent="0.3">
      <c r="G147">
        <v>70</v>
      </c>
      <c r="H147">
        <v>559.81590000000006</v>
      </c>
      <c r="J147" s="5">
        <f t="shared" si="15"/>
        <v>626.2815031578948</v>
      </c>
      <c r="K147" s="35">
        <f t="shared" si="16"/>
        <v>0.73799999999999999</v>
      </c>
      <c r="L147">
        <f t="shared" ref="L147:L175" si="17">J147</f>
        <v>626.2815031578948</v>
      </c>
      <c r="M147" s="35">
        <f t="shared" ref="M147:M176" si="18">J147/$N$77</f>
        <v>1.0819672131147544</v>
      </c>
    </row>
    <row r="148" spans="7:13" x14ac:dyDescent="0.3">
      <c r="G148">
        <v>71</v>
      </c>
      <c r="H148">
        <v>601.50480000000005</v>
      </c>
      <c r="J148" s="5">
        <f t="shared" ref="J148:J175" si="19">$J$176/95+J147</f>
        <v>635.77061684210537</v>
      </c>
      <c r="K148" s="35">
        <f t="shared" si="16"/>
        <v>0.78800000000000003</v>
      </c>
      <c r="L148">
        <f t="shared" si="17"/>
        <v>635.77061684210537</v>
      </c>
      <c r="M148" s="35">
        <f t="shared" si="18"/>
        <v>1.0983606557377052</v>
      </c>
    </row>
    <row r="149" spans="7:13" x14ac:dyDescent="0.3">
      <c r="G149">
        <v>72</v>
      </c>
      <c r="H149">
        <v>432.33710000000002</v>
      </c>
      <c r="J149" s="5">
        <f t="shared" si="19"/>
        <v>645.25973052631593</v>
      </c>
      <c r="K149" s="35">
        <f t="shared" si="16"/>
        <v>0.82799999999999996</v>
      </c>
      <c r="L149">
        <f t="shared" si="17"/>
        <v>645.25973052631593</v>
      </c>
      <c r="M149" s="35">
        <f t="shared" si="18"/>
        <v>1.1147540983606563</v>
      </c>
    </row>
    <row r="150" spans="7:13" x14ac:dyDescent="0.3">
      <c r="G150">
        <v>73</v>
      </c>
      <c r="H150">
        <v>549.56949999999995</v>
      </c>
      <c r="J150" s="5">
        <f t="shared" si="19"/>
        <v>654.7488442105265</v>
      </c>
      <c r="K150" s="35">
        <f t="shared" si="16"/>
        <v>0.86599999999999999</v>
      </c>
      <c r="L150">
        <f t="shared" si="17"/>
        <v>654.7488442105265</v>
      </c>
      <c r="M150" s="35">
        <f t="shared" si="18"/>
        <v>1.1311475409836071</v>
      </c>
    </row>
    <row r="151" spans="7:13" x14ac:dyDescent="0.3">
      <c r="G151">
        <v>74</v>
      </c>
      <c r="H151">
        <v>751.22149999999999</v>
      </c>
      <c r="J151" s="5">
        <f t="shared" si="19"/>
        <v>664.23795789473706</v>
      </c>
      <c r="K151" s="35">
        <f t="shared" si="16"/>
        <v>0.91</v>
      </c>
      <c r="L151">
        <f t="shared" si="17"/>
        <v>664.23795789473706</v>
      </c>
      <c r="M151" s="35">
        <f t="shared" si="18"/>
        <v>1.147540983606558</v>
      </c>
    </row>
    <row r="152" spans="7:13" x14ac:dyDescent="0.3">
      <c r="G152">
        <v>75</v>
      </c>
      <c r="H152">
        <v>555.80970000000002</v>
      </c>
      <c r="J152" s="5">
        <f t="shared" si="19"/>
        <v>673.72707157894763</v>
      </c>
      <c r="K152" s="35">
        <f t="shared" si="16"/>
        <v>0.94599999999999995</v>
      </c>
      <c r="L152">
        <f t="shared" si="17"/>
        <v>673.72707157894763</v>
      </c>
      <c r="M152" s="35">
        <f t="shared" si="18"/>
        <v>1.1639344262295088</v>
      </c>
    </row>
    <row r="153" spans="7:13" x14ac:dyDescent="0.3">
      <c r="G153">
        <v>76</v>
      </c>
      <c r="H153">
        <v>520.18640000000005</v>
      </c>
      <c r="J153" s="5">
        <f t="shared" si="19"/>
        <v>683.2161852631582</v>
      </c>
      <c r="K153" s="35">
        <f t="shared" si="16"/>
        <v>0.95399999999999996</v>
      </c>
      <c r="L153">
        <f t="shared" si="17"/>
        <v>683.2161852631582</v>
      </c>
      <c r="M153" s="35">
        <f t="shared" si="18"/>
        <v>1.1803278688524599</v>
      </c>
    </row>
    <row r="154" spans="7:13" x14ac:dyDescent="0.3">
      <c r="G154">
        <v>77</v>
      </c>
      <c r="H154">
        <v>592.85500000000002</v>
      </c>
      <c r="J154" s="5">
        <f t="shared" si="19"/>
        <v>692.70529894736876</v>
      </c>
      <c r="K154" s="35">
        <f t="shared" si="16"/>
        <v>0.96799999999999997</v>
      </c>
      <c r="L154">
        <f t="shared" si="17"/>
        <v>692.70529894736876</v>
      </c>
      <c r="M154" s="35">
        <f t="shared" si="18"/>
        <v>1.1967213114754107</v>
      </c>
    </row>
    <row r="155" spans="7:13" x14ac:dyDescent="0.3">
      <c r="G155">
        <v>78</v>
      </c>
      <c r="H155">
        <v>626.91819999999996</v>
      </c>
      <c r="J155" s="5">
        <f t="shared" si="19"/>
        <v>702.19441263157933</v>
      </c>
      <c r="K155" s="35">
        <f t="shared" si="16"/>
        <v>0.97399999999999998</v>
      </c>
      <c r="L155">
        <f t="shared" si="17"/>
        <v>702.19441263157933</v>
      </c>
      <c r="M155" s="35">
        <f t="shared" si="18"/>
        <v>1.2131147540983616</v>
      </c>
    </row>
    <row r="156" spans="7:13" x14ac:dyDescent="0.3">
      <c r="G156">
        <v>79</v>
      </c>
      <c r="H156">
        <v>585.6875</v>
      </c>
      <c r="J156" s="5">
        <f t="shared" si="19"/>
        <v>711.68352631578989</v>
      </c>
      <c r="K156" s="35">
        <f t="shared" si="16"/>
        <v>0.98</v>
      </c>
      <c r="L156">
        <f t="shared" si="17"/>
        <v>711.68352631578989</v>
      </c>
      <c r="M156" s="35">
        <f t="shared" si="18"/>
        <v>1.2295081967213124</v>
      </c>
    </row>
    <row r="157" spans="7:13" x14ac:dyDescent="0.3">
      <c r="G157">
        <v>80</v>
      </c>
      <c r="H157">
        <v>610.34820000000002</v>
      </c>
      <c r="J157" s="5">
        <f t="shared" si="19"/>
        <v>721.17264000000046</v>
      </c>
      <c r="K157" s="35">
        <f t="shared" si="16"/>
        <v>0.98599999999999999</v>
      </c>
      <c r="L157">
        <f t="shared" si="17"/>
        <v>721.17264000000046</v>
      </c>
      <c r="M157" s="35">
        <f t="shared" si="18"/>
        <v>1.2459016393442635</v>
      </c>
    </row>
    <row r="158" spans="7:13" x14ac:dyDescent="0.3">
      <c r="G158">
        <v>81</v>
      </c>
      <c r="H158">
        <v>533.70129999999995</v>
      </c>
      <c r="J158" s="5">
        <f t="shared" si="19"/>
        <v>730.66175368421102</v>
      </c>
      <c r="K158" s="35">
        <f t="shared" si="16"/>
        <v>0.99399999999999999</v>
      </c>
      <c r="L158">
        <f t="shared" si="17"/>
        <v>730.66175368421102</v>
      </c>
      <c r="M158" s="35">
        <f t="shared" si="18"/>
        <v>1.2622950819672143</v>
      </c>
    </row>
    <row r="159" spans="7:13" x14ac:dyDescent="0.3">
      <c r="G159">
        <v>82</v>
      </c>
      <c r="H159">
        <v>594.37440000000004</v>
      </c>
      <c r="J159" s="5">
        <f t="shared" si="19"/>
        <v>740.15086736842159</v>
      </c>
      <c r="K159" s="35">
        <f t="shared" si="16"/>
        <v>0.998</v>
      </c>
      <c r="L159">
        <f t="shared" si="17"/>
        <v>740.15086736842159</v>
      </c>
      <c r="M159" s="35">
        <f t="shared" si="18"/>
        <v>1.2786885245901651</v>
      </c>
    </row>
    <row r="160" spans="7:13" x14ac:dyDescent="0.3">
      <c r="G160">
        <v>83</v>
      </c>
      <c r="H160">
        <v>474.8329</v>
      </c>
      <c r="J160" s="5">
        <f t="shared" si="19"/>
        <v>749.63998105263215</v>
      </c>
      <c r="K160" s="35">
        <f t="shared" si="16"/>
        <v>0.998</v>
      </c>
      <c r="L160">
        <f t="shared" si="17"/>
        <v>749.63998105263215</v>
      </c>
      <c r="M160" s="35">
        <f t="shared" si="18"/>
        <v>1.295081967213116</v>
      </c>
    </row>
    <row r="161" spans="7:13" x14ac:dyDescent="0.3">
      <c r="G161">
        <v>84</v>
      </c>
      <c r="H161">
        <v>514.17610000000002</v>
      </c>
      <c r="J161" s="5">
        <f t="shared" si="19"/>
        <v>759.12909473684272</v>
      </c>
      <c r="K161" s="35">
        <f t="shared" si="16"/>
        <v>1</v>
      </c>
      <c r="L161">
        <f t="shared" si="17"/>
        <v>759.12909473684272</v>
      </c>
      <c r="M161" s="35">
        <f t="shared" si="18"/>
        <v>1.311475409836067</v>
      </c>
    </row>
    <row r="162" spans="7:13" x14ac:dyDescent="0.3">
      <c r="G162">
        <v>85</v>
      </c>
      <c r="H162">
        <v>529.41</v>
      </c>
      <c r="J162" s="5">
        <f t="shared" si="19"/>
        <v>768.61820842105328</v>
      </c>
      <c r="K162" s="35">
        <f t="shared" si="16"/>
        <v>1</v>
      </c>
      <c r="L162">
        <f t="shared" si="17"/>
        <v>768.61820842105328</v>
      </c>
      <c r="M162" s="35">
        <f t="shared" si="18"/>
        <v>1.3278688524590179</v>
      </c>
    </row>
    <row r="163" spans="7:13" x14ac:dyDescent="0.3">
      <c r="G163">
        <v>86</v>
      </c>
      <c r="H163">
        <v>515.58079999999995</v>
      </c>
      <c r="J163" s="5">
        <f t="shared" si="19"/>
        <v>778.10732210526385</v>
      </c>
      <c r="K163" s="35">
        <f t="shared" si="16"/>
        <v>1</v>
      </c>
      <c r="L163">
        <f t="shared" si="17"/>
        <v>778.10732210526385</v>
      </c>
      <c r="M163" s="35">
        <f t="shared" si="18"/>
        <v>1.3442622950819687</v>
      </c>
    </row>
    <row r="164" spans="7:13" x14ac:dyDescent="0.3">
      <c r="G164">
        <v>87</v>
      </c>
      <c r="H164">
        <v>658.4171</v>
      </c>
      <c r="J164" s="5">
        <f t="shared" si="19"/>
        <v>787.59643578947441</v>
      </c>
      <c r="K164" s="35">
        <f t="shared" si="16"/>
        <v>1</v>
      </c>
      <c r="L164">
        <f t="shared" si="17"/>
        <v>787.59643578947441</v>
      </c>
      <c r="M164" s="35">
        <f t="shared" si="18"/>
        <v>1.3606557377049195</v>
      </c>
    </row>
    <row r="165" spans="7:13" x14ac:dyDescent="0.3">
      <c r="G165">
        <v>88</v>
      </c>
      <c r="H165">
        <v>606.22900000000004</v>
      </c>
      <c r="J165" s="5">
        <f t="shared" si="19"/>
        <v>797.08554947368498</v>
      </c>
      <c r="K165" s="35">
        <f t="shared" si="16"/>
        <v>1</v>
      </c>
      <c r="L165">
        <f t="shared" si="17"/>
        <v>797.08554947368498</v>
      </c>
      <c r="M165" s="35">
        <f t="shared" si="18"/>
        <v>1.3770491803278704</v>
      </c>
    </row>
    <row r="166" spans="7:13" x14ac:dyDescent="0.3">
      <c r="G166">
        <v>89</v>
      </c>
      <c r="H166">
        <v>733.96990000000005</v>
      </c>
      <c r="J166" s="5">
        <f t="shared" si="19"/>
        <v>806.57466315789554</v>
      </c>
      <c r="K166" s="35">
        <f t="shared" si="16"/>
        <v>1</v>
      </c>
      <c r="L166">
        <f t="shared" si="17"/>
        <v>806.57466315789554</v>
      </c>
      <c r="M166" s="35">
        <f t="shared" si="18"/>
        <v>1.3934426229508214</v>
      </c>
    </row>
    <row r="167" spans="7:13" x14ac:dyDescent="0.3">
      <c r="G167">
        <v>90</v>
      </c>
      <c r="H167">
        <v>557.25340000000006</v>
      </c>
      <c r="J167" s="5">
        <f t="shared" si="19"/>
        <v>816.06377684210611</v>
      </c>
      <c r="K167" s="35">
        <f t="shared" si="16"/>
        <v>1</v>
      </c>
      <c r="L167">
        <f t="shared" si="17"/>
        <v>816.06377684210611</v>
      </c>
      <c r="M167" s="35">
        <f t="shared" si="18"/>
        <v>1.4098360655737723</v>
      </c>
    </row>
    <row r="168" spans="7:13" x14ac:dyDescent="0.3">
      <c r="G168">
        <v>91</v>
      </c>
      <c r="H168">
        <v>567.38490000000002</v>
      </c>
      <c r="J168" s="5">
        <f t="shared" si="19"/>
        <v>825.55289052631667</v>
      </c>
      <c r="K168" s="35">
        <f t="shared" si="16"/>
        <v>1</v>
      </c>
      <c r="L168">
        <f t="shared" si="17"/>
        <v>825.55289052631667</v>
      </c>
      <c r="M168" s="35">
        <f t="shared" si="18"/>
        <v>1.4262295081967231</v>
      </c>
    </row>
    <row r="169" spans="7:13" x14ac:dyDescent="0.3">
      <c r="G169">
        <v>92</v>
      </c>
      <c r="H169">
        <v>714.9153</v>
      </c>
      <c r="J169" s="5">
        <f t="shared" si="19"/>
        <v>835.04200421052724</v>
      </c>
      <c r="K169" s="35">
        <f t="shared" si="16"/>
        <v>1</v>
      </c>
      <c r="L169">
        <f t="shared" si="17"/>
        <v>835.04200421052724</v>
      </c>
      <c r="M169" s="35">
        <f t="shared" si="18"/>
        <v>1.442622950819674</v>
      </c>
    </row>
    <row r="170" spans="7:13" x14ac:dyDescent="0.3">
      <c r="G170">
        <v>93</v>
      </c>
      <c r="H170">
        <v>636.70860000000005</v>
      </c>
      <c r="J170" s="5">
        <f t="shared" si="19"/>
        <v>844.5311178947378</v>
      </c>
      <c r="K170" s="35">
        <f t="shared" si="16"/>
        <v>1</v>
      </c>
      <c r="L170">
        <f t="shared" si="17"/>
        <v>844.5311178947378</v>
      </c>
      <c r="M170" s="35">
        <f t="shared" si="18"/>
        <v>1.459016393442625</v>
      </c>
    </row>
    <row r="171" spans="7:13" x14ac:dyDescent="0.3">
      <c r="G171">
        <v>94</v>
      </c>
      <c r="H171">
        <v>511.71719999999999</v>
      </c>
      <c r="J171" s="5">
        <f t="shared" si="19"/>
        <v>854.02023157894837</v>
      </c>
      <c r="K171" s="35">
        <f t="shared" si="16"/>
        <v>1</v>
      </c>
      <c r="L171">
        <f t="shared" si="17"/>
        <v>854.02023157894837</v>
      </c>
      <c r="M171" s="35">
        <f t="shared" si="18"/>
        <v>1.4754098360655759</v>
      </c>
    </row>
    <row r="172" spans="7:13" x14ac:dyDescent="0.3">
      <c r="G172">
        <v>95</v>
      </c>
      <c r="H172">
        <v>578.63350000000003</v>
      </c>
      <c r="J172" s="5">
        <f t="shared" si="19"/>
        <v>863.50934526315893</v>
      </c>
      <c r="K172" s="35">
        <f t="shared" si="16"/>
        <v>1</v>
      </c>
      <c r="L172">
        <f t="shared" si="17"/>
        <v>863.50934526315893</v>
      </c>
      <c r="M172" s="35">
        <f t="shared" si="18"/>
        <v>1.4918032786885267</v>
      </c>
    </row>
    <row r="173" spans="7:13" x14ac:dyDescent="0.3">
      <c r="G173">
        <v>96</v>
      </c>
      <c r="H173">
        <v>507.57819999999998</v>
      </c>
      <c r="J173" s="5">
        <f t="shared" si="19"/>
        <v>872.9984589473695</v>
      </c>
      <c r="K173" s="35">
        <f t="shared" si="16"/>
        <v>1</v>
      </c>
      <c r="L173">
        <f t="shared" si="17"/>
        <v>872.9984589473695</v>
      </c>
      <c r="M173" s="35">
        <f t="shared" si="18"/>
        <v>1.5081967213114775</v>
      </c>
    </row>
    <row r="174" spans="7:13" x14ac:dyDescent="0.3">
      <c r="G174">
        <v>97</v>
      </c>
      <c r="H174">
        <v>608.75670000000002</v>
      </c>
      <c r="J174" s="5">
        <f t="shared" si="19"/>
        <v>882.48757263158006</v>
      </c>
      <c r="K174" s="35">
        <f t="shared" si="16"/>
        <v>1</v>
      </c>
      <c r="L174">
        <f t="shared" si="17"/>
        <v>882.48757263158006</v>
      </c>
      <c r="M174" s="35">
        <f t="shared" si="18"/>
        <v>1.5245901639344286</v>
      </c>
    </row>
    <row r="175" spans="7:13" x14ac:dyDescent="0.3">
      <c r="G175">
        <v>98</v>
      </c>
      <c r="H175">
        <v>661.67489999999998</v>
      </c>
      <c r="J175" s="5">
        <f t="shared" si="19"/>
        <v>891.97668631579063</v>
      </c>
      <c r="K175" s="35">
        <f t="shared" si="16"/>
        <v>1</v>
      </c>
      <c r="L175">
        <f t="shared" si="17"/>
        <v>891.97668631579063</v>
      </c>
      <c r="M175" s="35">
        <f t="shared" si="18"/>
        <v>1.5409836065573794</v>
      </c>
    </row>
    <row r="176" spans="7:13" x14ac:dyDescent="0.3">
      <c r="G176">
        <v>99</v>
      </c>
      <c r="H176">
        <v>526.85640000000001</v>
      </c>
      <c r="J176" s="5">
        <f>MAX(H78:H577)*1.2</f>
        <v>901.46579999999994</v>
      </c>
      <c r="K176" s="35">
        <f t="shared" si="16"/>
        <v>1</v>
      </c>
      <c r="L176">
        <f>J176</f>
        <v>901.46579999999994</v>
      </c>
      <c r="M176" s="35">
        <f t="shared" si="18"/>
        <v>1.557377049180328</v>
      </c>
    </row>
    <row r="177" spans="7:8" x14ac:dyDescent="0.3">
      <c r="G177">
        <v>100</v>
      </c>
      <c r="H177">
        <v>687.83420000000001</v>
      </c>
    </row>
    <row r="178" spans="7:8" x14ac:dyDescent="0.3">
      <c r="G178">
        <v>101</v>
      </c>
      <c r="H178">
        <v>615.31780000000003</v>
      </c>
    </row>
    <row r="179" spans="7:8" x14ac:dyDescent="0.3">
      <c r="G179">
        <v>102</v>
      </c>
      <c r="H179">
        <v>722.49639999999999</v>
      </c>
    </row>
    <row r="180" spans="7:8" x14ac:dyDescent="0.3">
      <c r="G180">
        <v>103</v>
      </c>
      <c r="H180">
        <v>640.36530000000005</v>
      </c>
    </row>
    <row r="181" spans="7:8" x14ac:dyDescent="0.3">
      <c r="G181">
        <v>104</v>
      </c>
      <c r="H181">
        <v>652.50340000000006</v>
      </c>
    </row>
    <row r="182" spans="7:8" x14ac:dyDescent="0.3">
      <c r="G182">
        <v>105</v>
      </c>
      <c r="H182">
        <v>590.71770000000004</v>
      </c>
    </row>
    <row r="183" spans="7:8" x14ac:dyDescent="0.3">
      <c r="G183">
        <v>106</v>
      </c>
      <c r="H183">
        <v>523.48180000000002</v>
      </c>
    </row>
    <row r="184" spans="7:8" x14ac:dyDescent="0.3">
      <c r="G184">
        <v>107</v>
      </c>
      <c r="H184">
        <v>660.10770000000002</v>
      </c>
    </row>
    <row r="185" spans="7:8" x14ac:dyDescent="0.3">
      <c r="G185">
        <v>108</v>
      </c>
      <c r="H185">
        <v>616.68230000000005</v>
      </c>
    </row>
    <row r="186" spans="7:8" x14ac:dyDescent="0.3">
      <c r="G186">
        <v>109</v>
      </c>
      <c r="H186">
        <v>659.31960000000004</v>
      </c>
    </row>
    <row r="187" spans="7:8" x14ac:dyDescent="0.3">
      <c r="G187">
        <v>110</v>
      </c>
      <c r="H187">
        <v>597.19780000000003</v>
      </c>
    </row>
    <row r="188" spans="7:8" x14ac:dyDescent="0.3">
      <c r="G188">
        <v>111</v>
      </c>
      <c r="H188">
        <v>541.91449999999998</v>
      </c>
    </row>
    <row r="189" spans="7:8" x14ac:dyDescent="0.3">
      <c r="G189">
        <v>112</v>
      </c>
      <c r="H189">
        <v>551.40790000000004</v>
      </c>
    </row>
    <row r="190" spans="7:8" x14ac:dyDescent="0.3">
      <c r="G190">
        <v>113</v>
      </c>
      <c r="H190">
        <v>512.04899999999998</v>
      </c>
    </row>
    <row r="191" spans="7:8" x14ac:dyDescent="0.3">
      <c r="G191">
        <v>114</v>
      </c>
      <c r="H191">
        <v>514.46640000000002</v>
      </c>
    </row>
    <row r="192" spans="7:8" x14ac:dyDescent="0.3">
      <c r="G192">
        <v>115</v>
      </c>
      <c r="H192">
        <v>582.81399999999996</v>
      </c>
    </row>
    <row r="193" spans="7:8" x14ac:dyDescent="0.3">
      <c r="G193">
        <v>116</v>
      </c>
      <c r="H193">
        <v>602.89980000000003</v>
      </c>
    </row>
    <row r="194" spans="7:8" x14ac:dyDescent="0.3">
      <c r="G194">
        <v>117</v>
      </c>
      <c r="H194">
        <v>652.01959999999997</v>
      </c>
    </row>
    <row r="195" spans="7:8" x14ac:dyDescent="0.3">
      <c r="G195">
        <v>118</v>
      </c>
      <c r="H195">
        <v>583.89769999999999</v>
      </c>
    </row>
    <row r="196" spans="7:8" x14ac:dyDescent="0.3">
      <c r="G196">
        <v>119</v>
      </c>
      <c r="H196">
        <v>518.87049999999999</v>
      </c>
    </row>
    <row r="197" spans="7:8" x14ac:dyDescent="0.3">
      <c r="G197">
        <v>120</v>
      </c>
      <c r="H197">
        <v>559.00940000000003</v>
      </c>
    </row>
    <row r="198" spans="7:8" x14ac:dyDescent="0.3">
      <c r="G198">
        <v>121</v>
      </c>
      <c r="H198">
        <v>554.47879999999998</v>
      </c>
    </row>
    <row r="199" spans="7:8" x14ac:dyDescent="0.3">
      <c r="G199">
        <v>122</v>
      </c>
      <c r="H199">
        <v>498.6671</v>
      </c>
    </row>
    <row r="200" spans="7:8" x14ac:dyDescent="0.3">
      <c r="G200">
        <v>123</v>
      </c>
      <c r="H200">
        <v>557.68949999999995</v>
      </c>
    </row>
    <row r="201" spans="7:8" x14ac:dyDescent="0.3">
      <c r="G201">
        <v>124</v>
      </c>
      <c r="H201">
        <v>543.75789999999995</v>
      </c>
    </row>
    <row r="202" spans="7:8" x14ac:dyDescent="0.3">
      <c r="G202">
        <v>125</v>
      </c>
      <c r="H202">
        <v>543.18169999999998</v>
      </c>
    </row>
    <row r="203" spans="7:8" x14ac:dyDescent="0.3">
      <c r="G203">
        <v>126</v>
      </c>
      <c r="H203">
        <v>536.99990000000003</v>
      </c>
    </row>
    <row r="204" spans="7:8" x14ac:dyDescent="0.3">
      <c r="G204">
        <v>127</v>
      </c>
      <c r="H204">
        <v>603.76549999999997</v>
      </c>
    </row>
    <row r="205" spans="7:8" x14ac:dyDescent="0.3">
      <c r="G205">
        <v>128</v>
      </c>
      <c r="H205">
        <v>603.3954</v>
      </c>
    </row>
    <row r="206" spans="7:8" x14ac:dyDescent="0.3">
      <c r="G206">
        <v>129</v>
      </c>
      <c r="H206">
        <v>617.38139999999999</v>
      </c>
    </row>
    <row r="207" spans="7:8" x14ac:dyDescent="0.3">
      <c r="G207">
        <v>130</v>
      </c>
      <c r="H207">
        <v>603.4683</v>
      </c>
    </row>
    <row r="208" spans="7:8" x14ac:dyDescent="0.3">
      <c r="G208">
        <v>131</v>
      </c>
      <c r="H208">
        <v>634.49360000000001</v>
      </c>
    </row>
    <row r="209" spans="7:8" x14ac:dyDescent="0.3">
      <c r="G209">
        <v>132</v>
      </c>
      <c r="H209">
        <v>501.63330000000002</v>
      </c>
    </row>
    <row r="210" spans="7:8" x14ac:dyDescent="0.3">
      <c r="G210">
        <v>133</v>
      </c>
      <c r="H210">
        <v>595.85559999999998</v>
      </c>
    </row>
    <row r="211" spans="7:8" x14ac:dyDescent="0.3">
      <c r="G211">
        <v>134</v>
      </c>
      <c r="H211">
        <v>613.65880000000004</v>
      </c>
    </row>
    <row r="212" spans="7:8" x14ac:dyDescent="0.3">
      <c r="G212">
        <v>135</v>
      </c>
      <c r="H212">
        <v>577.86080000000004</v>
      </c>
    </row>
    <row r="213" spans="7:8" x14ac:dyDescent="0.3">
      <c r="G213">
        <v>136</v>
      </c>
      <c r="H213">
        <v>563.08749999999998</v>
      </c>
    </row>
    <row r="214" spans="7:8" x14ac:dyDescent="0.3">
      <c r="G214">
        <v>137</v>
      </c>
      <c r="H214">
        <v>491.80919999999998</v>
      </c>
    </row>
    <row r="215" spans="7:8" x14ac:dyDescent="0.3">
      <c r="G215">
        <v>138</v>
      </c>
      <c r="H215">
        <v>602.06060000000002</v>
      </c>
    </row>
    <row r="216" spans="7:8" x14ac:dyDescent="0.3">
      <c r="G216">
        <v>139</v>
      </c>
      <c r="H216">
        <v>572.21410000000003</v>
      </c>
    </row>
    <row r="217" spans="7:8" x14ac:dyDescent="0.3">
      <c r="G217">
        <v>140</v>
      </c>
      <c r="H217">
        <v>576.32410000000004</v>
      </c>
    </row>
    <row r="218" spans="7:8" x14ac:dyDescent="0.3">
      <c r="G218">
        <v>141</v>
      </c>
      <c r="H218">
        <v>585.11519999999996</v>
      </c>
    </row>
    <row r="219" spans="7:8" x14ac:dyDescent="0.3">
      <c r="G219">
        <v>142</v>
      </c>
      <c r="H219">
        <v>604.97680000000003</v>
      </c>
    </row>
    <row r="220" spans="7:8" x14ac:dyDescent="0.3">
      <c r="G220">
        <v>143</v>
      </c>
      <c r="H220">
        <v>669.82680000000005</v>
      </c>
    </row>
    <row r="221" spans="7:8" x14ac:dyDescent="0.3">
      <c r="G221">
        <v>144</v>
      </c>
      <c r="H221">
        <v>465.15030000000002</v>
      </c>
    </row>
    <row r="222" spans="7:8" x14ac:dyDescent="0.3">
      <c r="G222">
        <v>145</v>
      </c>
      <c r="H222">
        <v>572.25720000000001</v>
      </c>
    </row>
    <row r="223" spans="7:8" x14ac:dyDescent="0.3">
      <c r="G223">
        <v>146</v>
      </c>
      <c r="H223">
        <v>566.76480000000004</v>
      </c>
    </row>
    <row r="224" spans="7:8" x14ac:dyDescent="0.3">
      <c r="G224">
        <v>147</v>
      </c>
      <c r="H224">
        <v>652.69640000000004</v>
      </c>
    </row>
    <row r="225" spans="7:8" x14ac:dyDescent="0.3">
      <c r="G225">
        <v>148</v>
      </c>
      <c r="H225">
        <v>672.2251</v>
      </c>
    </row>
    <row r="226" spans="7:8" x14ac:dyDescent="0.3">
      <c r="G226">
        <v>149</v>
      </c>
      <c r="H226">
        <v>639.71849999999995</v>
      </c>
    </row>
    <row r="227" spans="7:8" x14ac:dyDescent="0.3">
      <c r="G227">
        <v>150</v>
      </c>
      <c r="H227">
        <v>515.33600000000001</v>
      </c>
    </row>
    <row r="228" spans="7:8" x14ac:dyDescent="0.3">
      <c r="G228">
        <v>151</v>
      </c>
      <c r="H228">
        <v>529.29830000000004</v>
      </c>
    </row>
    <row r="229" spans="7:8" x14ac:dyDescent="0.3">
      <c r="G229">
        <v>152</v>
      </c>
      <c r="H229">
        <v>528.83010000000002</v>
      </c>
    </row>
    <row r="230" spans="7:8" x14ac:dyDescent="0.3">
      <c r="G230">
        <v>153</v>
      </c>
      <c r="H230">
        <v>473.85809999999998</v>
      </c>
    </row>
    <row r="231" spans="7:8" x14ac:dyDescent="0.3">
      <c r="G231">
        <v>154</v>
      </c>
      <c r="H231">
        <v>658.00040000000001</v>
      </c>
    </row>
    <row r="232" spans="7:8" x14ac:dyDescent="0.3">
      <c r="G232">
        <v>155</v>
      </c>
      <c r="H232">
        <v>498.2747</v>
      </c>
    </row>
    <row r="233" spans="7:8" x14ac:dyDescent="0.3">
      <c r="G233">
        <v>156</v>
      </c>
      <c r="H233">
        <v>603.95039999999995</v>
      </c>
    </row>
    <row r="234" spans="7:8" x14ac:dyDescent="0.3">
      <c r="G234">
        <v>157</v>
      </c>
      <c r="H234">
        <v>532.28470000000004</v>
      </c>
    </row>
    <row r="235" spans="7:8" x14ac:dyDescent="0.3">
      <c r="G235">
        <v>158</v>
      </c>
      <c r="H235">
        <v>491.39879999999999</v>
      </c>
    </row>
    <row r="236" spans="7:8" x14ac:dyDescent="0.3">
      <c r="G236">
        <v>159</v>
      </c>
      <c r="H236">
        <v>532.80920000000003</v>
      </c>
    </row>
    <row r="237" spans="7:8" x14ac:dyDescent="0.3">
      <c r="G237">
        <v>160</v>
      </c>
      <c r="H237">
        <v>680.51130000000001</v>
      </c>
    </row>
    <row r="238" spans="7:8" x14ac:dyDescent="0.3">
      <c r="G238">
        <v>161</v>
      </c>
      <c r="H238">
        <v>501.71660000000003</v>
      </c>
    </row>
    <row r="239" spans="7:8" x14ac:dyDescent="0.3">
      <c r="G239">
        <v>162</v>
      </c>
      <c r="H239">
        <v>688.99379999999996</v>
      </c>
    </row>
    <row r="240" spans="7:8" x14ac:dyDescent="0.3">
      <c r="G240">
        <v>163</v>
      </c>
      <c r="H240">
        <v>549.84780000000001</v>
      </c>
    </row>
    <row r="241" spans="7:8" x14ac:dyDescent="0.3">
      <c r="G241">
        <v>164</v>
      </c>
      <c r="H241">
        <v>508.34379999999999</v>
      </c>
    </row>
    <row r="242" spans="7:8" x14ac:dyDescent="0.3">
      <c r="G242">
        <v>165</v>
      </c>
      <c r="H242">
        <v>611.95740000000001</v>
      </c>
    </row>
    <row r="243" spans="7:8" x14ac:dyDescent="0.3">
      <c r="G243">
        <v>166</v>
      </c>
      <c r="H243">
        <v>611.78869999999995</v>
      </c>
    </row>
    <row r="244" spans="7:8" x14ac:dyDescent="0.3">
      <c r="G244">
        <v>167</v>
      </c>
      <c r="H244">
        <v>567.26300000000003</v>
      </c>
    </row>
    <row r="245" spans="7:8" x14ac:dyDescent="0.3">
      <c r="G245">
        <v>168</v>
      </c>
      <c r="H245">
        <v>556.30529999999999</v>
      </c>
    </row>
    <row r="246" spans="7:8" x14ac:dyDescent="0.3">
      <c r="G246">
        <v>169</v>
      </c>
      <c r="H246">
        <v>531.56370000000004</v>
      </c>
    </row>
    <row r="247" spans="7:8" x14ac:dyDescent="0.3">
      <c r="G247">
        <v>170</v>
      </c>
      <c r="H247">
        <v>612.47979999999995</v>
      </c>
    </row>
    <row r="248" spans="7:8" x14ac:dyDescent="0.3">
      <c r="G248">
        <v>171</v>
      </c>
      <c r="H248">
        <v>593.54269999999997</v>
      </c>
    </row>
    <row r="249" spans="7:8" x14ac:dyDescent="0.3">
      <c r="G249">
        <v>172</v>
      </c>
      <c r="H249">
        <v>542.0335</v>
      </c>
    </row>
    <row r="250" spans="7:8" x14ac:dyDescent="0.3">
      <c r="G250">
        <v>173</v>
      </c>
      <c r="H250">
        <v>594.95259999999996</v>
      </c>
    </row>
    <row r="251" spans="7:8" x14ac:dyDescent="0.3">
      <c r="G251">
        <v>174</v>
      </c>
      <c r="H251">
        <v>532.4194</v>
      </c>
    </row>
    <row r="252" spans="7:8" x14ac:dyDescent="0.3">
      <c r="G252">
        <v>175</v>
      </c>
      <c r="H252">
        <v>584.85640000000001</v>
      </c>
    </row>
    <row r="253" spans="7:8" x14ac:dyDescent="0.3">
      <c r="G253">
        <v>176</v>
      </c>
      <c r="H253">
        <v>627.27660000000003</v>
      </c>
    </row>
    <row r="254" spans="7:8" x14ac:dyDescent="0.3">
      <c r="G254">
        <v>177</v>
      </c>
      <c r="H254">
        <v>485.0437</v>
      </c>
    </row>
    <row r="255" spans="7:8" x14ac:dyDescent="0.3">
      <c r="G255">
        <v>178</v>
      </c>
      <c r="H255">
        <v>648.2989</v>
      </c>
    </row>
    <row r="256" spans="7:8" x14ac:dyDescent="0.3">
      <c r="G256">
        <v>179</v>
      </c>
      <c r="H256">
        <v>507.95409999999998</v>
      </c>
    </row>
    <row r="257" spans="7:8" x14ac:dyDescent="0.3">
      <c r="G257">
        <v>180</v>
      </c>
      <c r="H257">
        <v>534.44560000000001</v>
      </c>
    </row>
    <row r="258" spans="7:8" x14ac:dyDescent="0.3">
      <c r="G258">
        <v>181</v>
      </c>
      <c r="H258">
        <v>602.41549999999995</v>
      </c>
    </row>
    <row r="259" spans="7:8" x14ac:dyDescent="0.3">
      <c r="G259">
        <v>182</v>
      </c>
      <c r="H259">
        <v>593.52549999999997</v>
      </c>
    </row>
    <row r="260" spans="7:8" x14ac:dyDescent="0.3">
      <c r="G260">
        <v>183</v>
      </c>
      <c r="H260">
        <v>527.01199999999994</v>
      </c>
    </row>
    <row r="261" spans="7:8" x14ac:dyDescent="0.3">
      <c r="G261">
        <v>184</v>
      </c>
      <c r="H261">
        <v>632.79549999999995</v>
      </c>
    </row>
    <row r="262" spans="7:8" x14ac:dyDescent="0.3">
      <c r="G262">
        <v>185</v>
      </c>
      <c r="H262">
        <v>511.81439999999998</v>
      </c>
    </row>
    <row r="263" spans="7:8" x14ac:dyDescent="0.3">
      <c r="G263">
        <v>186</v>
      </c>
      <c r="H263">
        <v>561.27829999999994</v>
      </c>
    </row>
    <row r="264" spans="7:8" x14ac:dyDescent="0.3">
      <c r="G264">
        <v>187</v>
      </c>
      <c r="H264">
        <v>561.82470000000001</v>
      </c>
    </row>
    <row r="265" spans="7:8" x14ac:dyDescent="0.3">
      <c r="G265">
        <v>188</v>
      </c>
      <c r="H265">
        <v>635.40449999999998</v>
      </c>
    </row>
    <row r="266" spans="7:8" x14ac:dyDescent="0.3">
      <c r="G266">
        <v>189</v>
      </c>
      <c r="H266">
        <v>619.83420000000001</v>
      </c>
    </row>
    <row r="267" spans="7:8" x14ac:dyDescent="0.3">
      <c r="G267">
        <v>190</v>
      </c>
      <c r="H267">
        <v>453.25790000000001</v>
      </c>
    </row>
    <row r="268" spans="7:8" x14ac:dyDescent="0.3">
      <c r="G268">
        <v>191</v>
      </c>
      <c r="H268">
        <v>524.85550000000001</v>
      </c>
    </row>
    <row r="269" spans="7:8" x14ac:dyDescent="0.3">
      <c r="G269">
        <v>192</v>
      </c>
      <c r="H269">
        <v>643.98910000000001</v>
      </c>
    </row>
    <row r="270" spans="7:8" x14ac:dyDescent="0.3">
      <c r="G270">
        <v>193</v>
      </c>
      <c r="H270">
        <v>607.34889999999996</v>
      </c>
    </row>
    <row r="271" spans="7:8" x14ac:dyDescent="0.3">
      <c r="G271">
        <v>194</v>
      </c>
      <c r="H271">
        <v>596.12969999999996</v>
      </c>
    </row>
    <row r="272" spans="7:8" x14ac:dyDescent="0.3">
      <c r="G272">
        <v>195</v>
      </c>
      <c r="H272">
        <v>475.27089999999998</v>
      </c>
    </row>
    <row r="273" spans="7:8" x14ac:dyDescent="0.3">
      <c r="G273">
        <v>196</v>
      </c>
      <c r="H273">
        <v>500.13299999999998</v>
      </c>
    </row>
    <row r="274" spans="7:8" x14ac:dyDescent="0.3">
      <c r="G274">
        <v>197</v>
      </c>
      <c r="H274">
        <v>642.51409999999998</v>
      </c>
    </row>
    <row r="275" spans="7:8" x14ac:dyDescent="0.3">
      <c r="G275">
        <v>198</v>
      </c>
      <c r="H275">
        <v>571.68269999999995</v>
      </c>
    </row>
    <row r="276" spans="7:8" x14ac:dyDescent="0.3">
      <c r="G276">
        <v>199</v>
      </c>
      <c r="H276">
        <v>660.17909999999995</v>
      </c>
    </row>
    <row r="277" spans="7:8" x14ac:dyDescent="0.3">
      <c r="G277">
        <v>200</v>
      </c>
      <c r="H277">
        <v>597.62549999999999</v>
      </c>
    </row>
    <row r="278" spans="7:8" x14ac:dyDescent="0.3">
      <c r="G278">
        <v>201</v>
      </c>
      <c r="H278">
        <v>518.36890000000005</v>
      </c>
    </row>
    <row r="279" spans="7:8" x14ac:dyDescent="0.3">
      <c r="G279">
        <v>202</v>
      </c>
      <c r="H279">
        <v>544.49950000000001</v>
      </c>
    </row>
    <row r="280" spans="7:8" x14ac:dyDescent="0.3">
      <c r="G280">
        <v>203</v>
      </c>
      <c r="H280">
        <v>493.89819999999997</v>
      </c>
    </row>
    <row r="281" spans="7:8" x14ac:dyDescent="0.3">
      <c r="G281">
        <v>204</v>
      </c>
      <c r="H281">
        <v>592.20640000000003</v>
      </c>
    </row>
    <row r="282" spans="7:8" x14ac:dyDescent="0.3">
      <c r="G282">
        <v>205</v>
      </c>
      <c r="H282">
        <v>643.82780000000002</v>
      </c>
    </row>
    <row r="283" spans="7:8" x14ac:dyDescent="0.3">
      <c r="G283">
        <v>206</v>
      </c>
      <c r="H283">
        <v>563.31529999999998</v>
      </c>
    </row>
    <row r="284" spans="7:8" x14ac:dyDescent="0.3">
      <c r="G284">
        <v>207</v>
      </c>
      <c r="H284">
        <v>568.60969999999998</v>
      </c>
    </row>
    <row r="285" spans="7:8" x14ac:dyDescent="0.3">
      <c r="G285">
        <v>208</v>
      </c>
      <c r="H285">
        <v>657.66120000000001</v>
      </c>
    </row>
    <row r="286" spans="7:8" x14ac:dyDescent="0.3">
      <c r="G286">
        <v>209</v>
      </c>
      <c r="H286">
        <v>660.88199999999995</v>
      </c>
    </row>
    <row r="287" spans="7:8" x14ac:dyDescent="0.3">
      <c r="G287">
        <v>210</v>
      </c>
      <c r="H287">
        <v>623.18759999999997</v>
      </c>
    </row>
    <row r="288" spans="7:8" x14ac:dyDescent="0.3">
      <c r="G288">
        <v>211</v>
      </c>
      <c r="H288">
        <v>508.54180000000002</v>
      </c>
    </row>
    <row r="289" spans="7:8" x14ac:dyDescent="0.3">
      <c r="G289">
        <v>212</v>
      </c>
      <c r="H289">
        <v>506.78680000000003</v>
      </c>
    </row>
    <row r="290" spans="7:8" x14ac:dyDescent="0.3">
      <c r="G290">
        <v>213</v>
      </c>
      <c r="H290">
        <v>488.649</v>
      </c>
    </row>
    <row r="291" spans="7:8" x14ac:dyDescent="0.3">
      <c r="G291">
        <v>214</v>
      </c>
      <c r="H291">
        <v>647.14250000000004</v>
      </c>
    </row>
    <row r="292" spans="7:8" x14ac:dyDescent="0.3">
      <c r="G292">
        <v>215</v>
      </c>
      <c r="H292">
        <v>642.71429999999998</v>
      </c>
    </row>
    <row r="293" spans="7:8" x14ac:dyDescent="0.3">
      <c r="G293">
        <v>216</v>
      </c>
      <c r="H293">
        <v>464.80309999999997</v>
      </c>
    </row>
    <row r="294" spans="7:8" x14ac:dyDescent="0.3">
      <c r="G294">
        <v>217</v>
      </c>
      <c r="H294">
        <v>633.53599999999994</v>
      </c>
    </row>
    <row r="295" spans="7:8" x14ac:dyDescent="0.3">
      <c r="G295">
        <v>218</v>
      </c>
      <c r="H295">
        <v>677.66420000000005</v>
      </c>
    </row>
    <row r="296" spans="7:8" x14ac:dyDescent="0.3">
      <c r="G296">
        <v>219</v>
      </c>
      <c r="H296">
        <v>497.30399999999997</v>
      </c>
    </row>
    <row r="297" spans="7:8" x14ac:dyDescent="0.3">
      <c r="G297">
        <v>220</v>
      </c>
      <c r="H297">
        <v>538.07389999999998</v>
      </c>
    </row>
    <row r="298" spans="7:8" x14ac:dyDescent="0.3">
      <c r="G298">
        <v>221</v>
      </c>
      <c r="H298">
        <v>523.11879999999996</v>
      </c>
    </row>
    <row r="299" spans="7:8" x14ac:dyDescent="0.3">
      <c r="G299">
        <v>222</v>
      </c>
      <c r="H299">
        <v>558.17039999999997</v>
      </c>
    </row>
    <row r="300" spans="7:8" x14ac:dyDescent="0.3">
      <c r="G300">
        <v>223</v>
      </c>
      <c r="H300">
        <v>620.52729999999997</v>
      </c>
    </row>
    <row r="301" spans="7:8" x14ac:dyDescent="0.3">
      <c r="G301">
        <v>224</v>
      </c>
      <c r="H301">
        <v>565.90629999999999</v>
      </c>
    </row>
    <row r="302" spans="7:8" x14ac:dyDescent="0.3">
      <c r="G302">
        <v>225</v>
      </c>
      <c r="H302">
        <v>601.52769999999998</v>
      </c>
    </row>
    <row r="303" spans="7:8" x14ac:dyDescent="0.3">
      <c r="G303">
        <v>226</v>
      </c>
      <c r="H303">
        <v>515.48249999999996</v>
      </c>
    </row>
    <row r="304" spans="7:8" x14ac:dyDescent="0.3">
      <c r="G304">
        <v>227</v>
      </c>
      <c r="H304">
        <v>503.26310000000001</v>
      </c>
    </row>
    <row r="305" spans="7:8" x14ac:dyDescent="0.3">
      <c r="G305">
        <v>228</v>
      </c>
      <c r="H305">
        <v>524.54750000000001</v>
      </c>
    </row>
    <row r="306" spans="7:8" x14ac:dyDescent="0.3">
      <c r="G306">
        <v>229</v>
      </c>
      <c r="H306">
        <v>601.80280000000005</v>
      </c>
    </row>
    <row r="307" spans="7:8" x14ac:dyDescent="0.3">
      <c r="G307">
        <v>230</v>
      </c>
      <c r="H307">
        <v>588.53989999999999</v>
      </c>
    </row>
    <row r="308" spans="7:8" x14ac:dyDescent="0.3">
      <c r="G308">
        <v>231</v>
      </c>
      <c r="H308">
        <v>562.83050000000003</v>
      </c>
    </row>
    <row r="309" spans="7:8" x14ac:dyDescent="0.3">
      <c r="G309">
        <v>232</v>
      </c>
      <c r="H309">
        <v>666.02020000000005</v>
      </c>
    </row>
    <row r="310" spans="7:8" x14ac:dyDescent="0.3">
      <c r="G310">
        <v>233</v>
      </c>
      <c r="H310">
        <v>630.0575</v>
      </c>
    </row>
    <row r="311" spans="7:8" x14ac:dyDescent="0.3">
      <c r="G311">
        <v>234</v>
      </c>
      <c r="H311">
        <v>463.89330000000001</v>
      </c>
    </row>
    <row r="312" spans="7:8" x14ac:dyDescent="0.3">
      <c r="G312">
        <v>235</v>
      </c>
      <c r="H312">
        <v>568.12210000000005</v>
      </c>
    </row>
    <row r="313" spans="7:8" x14ac:dyDescent="0.3">
      <c r="G313">
        <v>236</v>
      </c>
      <c r="H313">
        <v>585.86720000000003</v>
      </c>
    </row>
    <row r="314" spans="7:8" x14ac:dyDescent="0.3">
      <c r="G314">
        <v>237</v>
      </c>
      <c r="H314">
        <v>569.02880000000005</v>
      </c>
    </row>
    <row r="315" spans="7:8" x14ac:dyDescent="0.3">
      <c r="G315">
        <v>238</v>
      </c>
      <c r="H315">
        <v>666.79079999999999</v>
      </c>
    </row>
    <row r="316" spans="7:8" x14ac:dyDescent="0.3">
      <c r="G316">
        <v>239</v>
      </c>
      <c r="H316">
        <v>672.66250000000002</v>
      </c>
    </row>
    <row r="317" spans="7:8" x14ac:dyDescent="0.3">
      <c r="G317">
        <v>240</v>
      </c>
      <c r="H317">
        <v>512.08839999999998</v>
      </c>
    </row>
    <row r="318" spans="7:8" x14ac:dyDescent="0.3">
      <c r="G318">
        <v>241</v>
      </c>
      <c r="H318">
        <v>444.01600000000002</v>
      </c>
    </row>
    <row r="319" spans="7:8" x14ac:dyDescent="0.3">
      <c r="G319">
        <v>242</v>
      </c>
      <c r="H319">
        <v>686.8125</v>
      </c>
    </row>
    <row r="320" spans="7:8" x14ac:dyDescent="0.3">
      <c r="G320">
        <v>243</v>
      </c>
      <c r="H320">
        <v>561.87459999999999</v>
      </c>
    </row>
    <row r="321" spans="7:8" x14ac:dyDescent="0.3">
      <c r="G321">
        <v>244</v>
      </c>
      <c r="H321">
        <v>580.18910000000005</v>
      </c>
    </row>
    <row r="322" spans="7:8" x14ac:dyDescent="0.3">
      <c r="G322">
        <v>245</v>
      </c>
      <c r="H322">
        <v>487.2353</v>
      </c>
    </row>
    <row r="323" spans="7:8" x14ac:dyDescent="0.3">
      <c r="G323">
        <v>246</v>
      </c>
      <c r="H323">
        <v>564.00850000000003</v>
      </c>
    </row>
    <row r="324" spans="7:8" x14ac:dyDescent="0.3">
      <c r="G324">
        <v>247</v>
      </c>
      <c r="H324">
        <v>621.11210000000005</v>
      </c>
    </row>
    <row r="325" spans="7:8" x14ac:dyDescent="0.3">
      <c r="G325">
        <v>248</v>
      </c>
      <c r="H325">
        <v>492.54329999999999</v>
      </c>
    </row>
    <row r="326" spans="7:8" x14ac:dyDescent="0.3">
      <c r="G326">
        <v>249</v>
      </c>
      <c r="H326">
        <v>564.34130000000005</v>
      </c>
    </row>
    <row r="327" spans="7:8" x14ac:dyDescent="0.3">
      <c r="G327">
        <v>250</v>
      </c>
      <c r="H327">
        <v>648.07659999999998</v>
      </c>
    </row>
    <row r="328" spans="7:8" x14ac:dyDescent="0.3">
      <c r="G328">
        <v>251</v>
      </c>
      <c r="H328">
        <v>532.90250000000003</v>
      </c>
    </row>
    <row r="329" spans="7:8" x14ac:dyDescent="0.3">
      <c r="G329">
        <v>252</v>
      </c>
      <c r="H329">
        <v>504.57339999999999</v>
      </c>
    </row>
    <row r="330" spans="7:8" x14ac:dyDescent="0.3">
      <c r="G330">
        <v>253</v>
      </c>
      <c r="H330">
        <v>609.1019</v>
      </c>
    </row>
    <row r="331" spans="7:8" x14ac:dyDescent="0.3">
      <c r="G331">
        <v>254</v>
      </c>
      <c r="H331">
        <v>616.74860000000001</v>
      </c>
    </row>
    <row r="332" spans="7:8" x14ac:dyDescent="0.3">
      <c r="G332">
        <v>255</v>
      </c>
      <c r="H332">
        <v>542.07749999999999</v>
      </c>
    </row>
    <row r="333" spans="7:8" x14ac:dyDescent="0.3">
      <c r="G333">
        <v>256</v>
      </c>
      <c r="H333">
        <v>560.09939999999995</v>
      </c>
    </row>
    <row r="334" spans="7:8" x14ac:dyDescent="0.3">
      <c r="G334">
        <v>257</v>
      </c>
      <c r="H334">
        <v>548.13800000000003</v>
      </c>
    </row>
    <row r="335" spans="7:8" x14ac:dyDescent="0.3">
      <c r="G335">
        <v>258</v>
      </c>
      <c r="H335">
        <v>629.32470000000001</v>
      </c>
    </row>
    <row r="336" spans="7:8" x14ac:dyDescent="0.3">
      <c r="G336">
        <v>259</v>
      </c>
      <c r="H336">
        <v>548.70870000000002</v>
      </c>
    </row>
    <row r="337" spans="7:8" x14ac:dyDescent="0.3">
      <c r="G337">
        <v>260</v>
      </c>
      <c r="H337">
        <v>597.79280000000006</v>
      </c>
    </row>
    <row r="338" spans="7:8" x14ac:dyDescent="0.3">
      <c r="G338">
        <v>261</v>
      </c>
      <c r="H338">
        <v>546.56060000000002</v>
      </c>
    </row>
    <row r="339" spans="7:8" x14ac:dyDescent="0.3">
      <c r="G339">
        <v>262</v>
      </c>
      <c r="H339">
        <v>702.27930000000003</v>
      </c>
    </row>
    <row r="340" spans="7:8" x14ac:dyDescent="0.3">
      <c r="G340">
        <v>263</v>
      </c>
      <c r="H340">
        <v>462.79559999999998</v>
      </c>
    </row>
    <row r="341" spans="7:8" x14ac:dyDescent="0.3">
      <c r="G341">
        <v>264</v>
      </c>
      <c r="H341">
        <v>569.34389999999996</v>
      </c>
    </row>
    <row r="342" spans="7:8" x14ac:dyDescent="0.3">
      <c r="G342">
        <v>265</v>
      </c>
      <c r="H342">
        <v>533.19759999999997</v>
      </c>
    </row>
    <row r="343" spans="7:8" x14ac:dyDescent="0.3">
      <c r="G343">
        <v>266</v>
      </c>
      <c r="H343">
        <v>539.51829999999995</v>
      </c>
    </row>
    <row r="344" spans="7:8" x14ac:dyDescent="0.3">
      <c r="G344">
        <v>267</v>
      </c>
      <c r="H344">
        <v>508.24119999999999</v>
      </c>
    </row>
    <row r="345" spans="7:8" x14ac:dyDescent="0.3">
      <c r="G345">
        <v>268</v>
      </c>
      <c r="H345">
        <v>478.55079999999998</v>
      </c>
    </row>
    <row r="346" spans="7:8" x14ac:dyDescent="0.3">
      <c r="G346">
        <v>269</v>
      </c>
      <c r="H346">
        <v>493.54509999999999</v>
      </c>
    </row>
    <row r="347" spans="7:8" x14ac:dyDescent="0.3">
      <c r="G347">
        <v>270</v>
      </c>
      <c r="H347">
        <v>577.572</v>
      </c>
    </row>
    <row r="348" spans="7:8" x14ac:dyDescent="0.3">
      <c r="G348">
        <v>271</v>
      </c>
      <c r="H348">
        <v>588.12689999999998</v>
      </c>
    </row>
    <row r="349" spans="7:8" x14ac:dyDescent="0.3">
      <c r="G349">
        <v>272</v>
      </c>
      <c r="H349">
        <v>633.55909999999994</v>
      </c>
    </row>
    <row r="350" spans="7:8" x14ac:dyDescent="0.3">
      <c r="G350">
        <v>273</v>
      </c>
      <c r="H350">
        <v>577.91229999999996</v>
      </c>
    </row>
    <row r="351" spans="7:8" x14ac:dyDescent="0.3">
      <c r="G351">
        <v>274</v>
      </c>
      <c r="H351">
        <v>653.61090000000002</v>
      </c>
    </row>
    <row r="352" spans="7:8" x14ac:dyDescent="0.3">
      <c r="G352">
        <v>275</v>
      </c>
      <c r="H352">
        <v>662.30190000000005</v>
      </c>
    </row>
    <row r="353" spans="7:8" x14ac:dyDescent="0.3">
      <c r="G353">
        <v>276</v>
      </c>
      <c r="H353">
        <v>690.60860000000002</v>
      </c>
    </row>
    <row r="354" spans="7:8" x14ac:dyDescent="0.3">
      <c r="G354">
        <v>277</v>
      </c>
      <c r="H354">
        <v>574.81679999999994</v>
      </c>
    </row>
    <row r="355" spans="7:8" x14ac:dyDescent="0.3">
      <c r="G355">
        <v>278</v>
      </c>
      <c r="H355">
        <v>585.32029999999997</v>
      </c>
    </row>
    <row r="356" spans="7:8" x14ac:dyDescent="0.3">
      <c r="G356">
        <v>279</v>
      </c>
      <c r="H356">
        <v>611.01549999999997</v>
      </c>
    </row>
    <row r="357" spans="7:8" x14ac:dyDescent="0.3">
      <c r="G357">
        <v>280</v>
      </c>
      <c r="H357">
        <v>568.43470000000002</v>
      </c>
    </row>
    <row r="358" spans="7:8" x14ac:dyDescent="0.3">
      <c r="G358">
        <v>281</v>
      </c>
      <c r="H358">
        <v>470.06319999999999</v>
      </c>
    </row>
    <row r="359" spans="7:8" x14ac:dyDescent="0.3">
      <c r="G359">
        <v>282</v>
      </c>
      <c r="H359">
        <v>530.3623</v>
      </c>
    </row>
    <row r="360" spans="7:8" x14ac:dyDescent="0.3">
      <c r="G360">
        <v>283</v>
      </c>
      <c r="H360">
        <v>477.75290000000001</v>
      </c>
    </row>
    <row r="361" spans="7:8" x14ac:dyDescent="0.3">
      <c r="G361">
        <v>284</v>
      </c>
      <c r="H361">
        <v>547.3614</v>
      </c>
    </row>
    <row r="362" spans="7:8" x14ac:dyDescent="0.3">
      <c r="G362">
        <v>285</v>
      </c>
      <c r="H362">
        <v>564.83960000000002</v>
      </c>
    </row>
    <row r="363" spans="7:8" x14ac:dyDescent="0.3">
      <c r="G363">
        <v>286</v>
      </c>
      <c r="H363">
        <v>678.29420000000005</v>
      </c>
    </row>
    <row r="364" spans="7:8" x14ac:dyDescent="0.3">
      <c r="G364">
        <v>287</v>
      </c>
      <c r="H364">
        <v>567.85969999999998</v>
      </c>
    </row>
    <row r="365" spans="7:8" x14ac:dyDescent="0.3">
      <c r="G365">
        <v>288</v>
      </c>
      <c r="H365">
        <v>541.98050000000001</v>
      </c>
    </row>
    <row r="366" spans="7:8" x14ac:dyDescent="0.3">
      <c r="G366">
        <v>289</v>
      </c>
      <c r="H366">
        <v>555.72519999999997</v>
      </c>
    </row>
    <row r="367" spans="7:8" x14ac:dyDescent="0.3">
      <c r="G367">
        <v>290</v>
      </c>
      <c r="H367">
        <v>546.96119999999996</v>
      </c>
    </row>
    <row r="368" spans="7:8" x14ac:dyDescent="0.3">
      <c r="G368">
        <v>291</v>
      </c>
      <c r="H368">
        <v>522.53880000000004</v>
      </c>
    </row>
    <row r="369" spans="7:8" x14ac:dyDescent="0.3">
      <c r="G369">
        <v>292</v>
      </c>
      <c r="H369">
        <v>616.7029</v>
      </c>
    </row>
    <row r="370" spans="7:8" x14ac:dyDescent="0.3">
      <c r="G370">
        <v>293</v>
      </c>
      <c r="H370">
        <v>537.93050000000005</v>
      </c>
    </row>
    <row r="371" spans="7:8" x14ac:dyDescent="0.3">
      <c r="G371">
        <v>294</v>
      </c>
      <c r="H371">
        <v>667.56110000000001</v>
      </c>
    </row>
    <row r="372" spans="7:8" x14ac:dyDescent="0.3">
      <c r="G372">
        <v>295</v>
      </c>
      <c r="H372">
        <v>584.70929999999998</v>
      </c>
    </row>
    <row r="373" spans="7:8" x14ac:dyDescent="0.3">
      <c r="G373">
        <v>296</v>
      </c>
      <c r="H373">
        <v>484.0496</v>
      </c>
    </row>
    <row r="374" spans="7:8" x14ac:dyDescent="0.3">
      <c r="G374">
        <v>297</v>
      </c>
      <c r="H374">
        <v>649.15520000000004</v>
      </c>
    </row>
    <row r="375" spans="7:8" x14ac:dyDescent="0.3">
      <c r="G375">
        <v>298</v>
      </c>
      <c r="H375">
        <v>633.8605</v>
      </c>
    </row>
    <row r="376" spans="7:8" x14ac:dyDescent="0.3">
      <c r="G376">
        <v>299</v>
      </c>
      <c r="H376">
        <v>671.91819999999996</v>
      </c>
    </row>
    <row r="377" spans="7:8" x14ac:dyDescent="0.3">
      <c r="G377">
        <v>300</v>
      </c>
      <c r="H377">
        <v>478.20400000000001</v>
      </c>
    </row>
    <row r="378" spans="7:8" x14ac:dyDescent="0.3">
      <c r="G378">
        <v>301</v>
      </c>
      <c r="H378">
        <v>589.35109999999997</v>
      </c>
    </row>
    <row r="379" spans="7:8" x14ac:dyDescent="0.3">
      <c r="G379">
        <v>302</v>
      </c>
      <c r="H379">
        <v>570.26329999999996</v>
      </c>
    </row>
    <row r="380" spans="7:8" x14ac:dyDescent="0.3">
      <c r="G380">
        <v>303</v>
      </c>
      <c r="H380">
        <v>512.80920000000003</v>
      </c>
    </row>
    <row r="381" spans="7:8" x14ac:dyDescent="0.3">
      <c r="G381">
        <v>304</v>
      </c>
      <c r="H381">
        <v>592.0068</v>
      </c>
    </row>
    <row r="382" spans="7:8" x14ac:dyDescent="0.3">
      <c r="G382">
        <v>305</v>
      </c>
      <c r="H382">
        <v>474.97359999999998</v>
      </c>
    </row>
    <row r="383" spans="7:8" x14ac:dyDescent="0.3">
      <c r="G383">
        <v>306</v>
      </c>
      <c r="H383">
        <v>559.05579999999998</v>
      </c>
    </row>
    <row r="384" spans="7:8" x14ac:dyDescent="0.3">
      <c r="G384">
        <v>307</v>
      </c>
      <c r="H384">
        <v>622.63869999999997</v>
      </c>
    </row>
    <row r="385" spans="7:8" x14ac:dyDescent="0.3">
      <c r="G385">
        <v>308</v>
      </c>
      <c r="H385">
        <v>594.46010000000001</v>
      </c>
    </row>
    <row r="386" spans="7:8" x14ac:dyDescent="0.3">
      <c r="G386">
        <v>309</v>
      </c>
      <c r="H386">
        <v>625.90020000000004</v>
      </c>
    </row>
    <row r="387" spans="7:8" x14ac:dyDescent="0.3">
      <c r="G387">
        <v>310</v>
      </c>
      <c r="H387">
        <v>520.77739999999994</v>
      </c>
    </row>
    <row r="388" spans="7:8" x14ac:dyDescent="0.3">
      <c r="G388">
        <v>311</v>
      </c>
      <c r="H388">
        <v>645.50530000000003</v>
      </c>
    </row>
    <row r="389" spans="7:8" x14ac:dyDescent="0.3">
      <c r="G389">
        <v>312</v>
      </c>
      <c r="H389">
        <v>623.46159999999998</v>
      </c>
    </row>
    <row r="390" spans="7:8" x14ac:dyDescent="0.3">
      <c r="G390">
        <v>313</v>
      </c>
      <c r="H390">
        <v>539.08219999999994</v>
      </c>
    </row>
    <row r="391" spans="7:8" x14ac:dyDescent="0.3">
      <c r="G391">
        <v>314</v>
      </c>
      <c r="H391">
        <v>645.36379999999997</v>
      </c>
    </row>
    <row r="392" spans="7:8" x14ac:dyDescent="0.3">
      <c r="G392">
        <v>315</v>
      </c>
      <c r="H392">
        <v>561.85299999999995</v>
      </c>
    </row>
    <row r="393" spans="7:8" x14ac:dyDescent="0.3">
      <c r="G393">
        <v>316</v>
      </c>
      <c r="H393">
        <v>561.17399999999998</v>
      </c>
    </row>
    <row r="394" spans="7:8" x14ac:dyDescent="0.3">
      <c r="G394">
        <v>317</v>
      </c>
      <c r="H394">
        <v>627.72349999999994</v>
      </c>
    </row>
    <row r="395" spans="7:8" x14ac:dyDescent="0.3">
      <c r="G395">
        <v>318</v>
      </c>
      <c r="H395">
        <v>559.88009999999997</v>
      </c>
    </row>
    <row r="396" spans="7:8" x14ac:dyDescent="0.3">
      <c r="G396">
        <v>319</v>
      </c>
      <c r="H396">
        <v>459.61989999999997</v>
      </c>
    </row>
    <row r="397" spans="7:8" x14ac:dyDescent="0.3">
      <c r="G397">
        <v>320</v>
      </c>
      <c r="H397">
        <v>637.46050000000002</v>
      </c>
    </row>
    <row r="398" spans="7:8" x14ac:dyDescent="0.3">
      <c r="G398">
        <v>321</v>
      </c>
      <c r="H398">
        <v>638.78009999999995</v>
      </c>
    </row>
    <row r="399" spans="7:8" x14ac:dyDescent="0.3">
      <c r="G399">
        <v>322</v>
      </c>
      <c r="H399">
        <v>674.45749999999998</v>
      </c>
    </row>
    <row r="400" spans="7:8" x14ac:dyDescent="0.3">
      <c r="G400">
        <v>323</v>
      </c>
      <c r="H400">
        <v>700.91589999999997</v>
      </c>
    </row>
    <row r="401" spans="7:8" x14ac:dyDescent="0.3">
      <c r="G401">
        <v>324</v>
      </c>
      <c r="H401">
        <v>648.58659999999998</v>
      </c>
    </row>
    <row r="402" spans="7:8" x14ac:dyDescent="0.3">
      <c r="G402">
        <v>325</v>
      </c>
      <c r="H402">
        <v>603.31500000000005</v>
      </c>
    </row>
    <row r="403" spans="7:8" x14ac:dyDescent="0.3">
      <c r="G403">
        <v>326</v>
      </c>
      <c r="H403">
        <v>621.68110000000001</v>
      </c>
    </row>
    <row r="404" spans="7:8" x14ac:dyDescent="0.3">
      <c r="G404">
        <v>327</v>
      </c>
      <c r="H404">
        <v>526.10969999999998</v>
      </c>
    </row>
    <row r="405" spans="7:8" x14ac:dyDescent="0.3">
      <c r="G405">
        <v>328</v>
      </c>
      <c r="H405">
        <v>621.64110000000005</v>
      </c>
    </row>
    <row r="406" spans="7:8" x14ac:dyDescent="0.3">
      <c r="G406">
        <v>329</v>
      </c>
      <c r="H406">
        <v>540.55700000000002</v>
      </c>
    </row>
    <row r="407" spans="7:8" x14ac:dyDescent="0.3">
      <c r="G407">
        <v>330</v>
      </c>
      <c r="H407">
        <v>627.79380000000003</v>
      </c>
    </row>
    <row r="408" spans="7:8" x14ac:dyDescent="0.3">
      <c r="G408">
        <v>331</v>
      </c>
      <c r="H408">
        <v>655.74450000000002</v>
      </c>
    </row>
    <row r="409" spans="7:8" x14ac:dyDescent="0.3">
      <c r="G409">
        <v>332</v>
      </c>
      <c r="H409">
        <v>634.55600000000004</v>
      </c>
    </row>
    <row r="410" spans="7:8" x14ac:dyDescent="0.3">
      <c r="G410">
        <v>333</v>
      </c>
      <c r="H410">
        <v>486.8211</v>
      </c>
    </row>
    <row r="411" spans="7:8" x14ac:dyDescent="0.3">
      <c r="G411">
        <v>334</v>
      </c>
      <c r="H411">
        <v>464.07249999999999</v>
      </c>
    </row>
    <row r="412" spans="7:8" x14ac:dyDescent="0.3">
      <c r="G412">
        <v>335</v>
      </c>
      <c r="H412">
        <v>563.67259999999999</v>
      </c>
    </row>
    <row r="413" spans="7:8" x14ac:dyDescent="0.3">
      <c r="G413">
        <v>336</v>
      </c>
      <c r="H413">
        <v>611.36500000000001</v>
      </c>
    </row>
    <row r="414" spans="7:8" x14ac:dyDescent="0.3">
      <c r="G414">
        <v>337</v>
      </c>
      <c r="H414">
        <v>527.29520000000002</v>
      </c>
    </row>
    <row r="415" spans="7:8" x14ac:dyDescent="0.3">
      <c r="G415">
        <v>338</v>
      </c>
      <c r="H415">
        <v>569.16840000000002</v>
      </c>
    </row>
    <row r="416" spans="7:8" x14ac:dyDescent="0.3">
      <c r="G416">
        <v>339</v>
      </c>
      <c r="H416">
        <v>574.60860000000002</v>
      </c>
    </row>
    <row r="417" spans="7:8" x14ac:dyDescent="0.3">
      <c r="G417">
        <v>340</v>
      </c>
      <c r="H417">
        <v>483.54340000000002</v>
      </c>
    </row>
    <row r="418" spans="7:8" x14ac:dyDescent="0.3">
      <c r="G418">
        <v>341</v>
      </c>
      <c r="H418">
        <v>619.31910000000005</v>
      </c>
    </row>
    <row r="419" spans="7:8" x14ac:dyDescent="0.3">
      <c r="G419">
        <v>342</v>
      </c>
      <c r="H419">
        <v>583.92200000000003</v>
      </c>
    </row>
    <row r="420" spans="7:8" x14ac:dyDescent="0.3">
      <c r="G420">
        <v>343</v>
      </c>
      <c r="H420">
        <v>572.85350000000005</v>
      </c>
    </row>
    <row r="421" spans="7:8" x14ac:dyDescent="0.3">
      <c r="G421">
        <v>344</v>
      </c>
      <c r="H421">
        <v>626.97320000000002</v>
      </c>
    </row>
    <row r="422" spans="7:8" x14ac:dyDescent="0.3">
      <c r="G422">
        <v>345</v>
      </c>
      <c r="H422">
        <v>535.49300000000005</v>
      </c>
    </row>
    <row r="423" spans="7:8" x14ac:dyDescent="0.3">
      <c r="G423">
        <v>346</v>
      </c>
      <c r="H423">
        <v>564.06020000000001</v>
      </c>
    </row>
    <row r="424" spans="7:8" x14ac:dyDescent="0.3">
      <c r="G424">
        <v>347</v>
      </c>
      <c r="H424">
        <v>629.17280000000005</v>
      </c>
    </row>
    <row r="425" spans="7:8" x14ac:dyDescent="0.3">
      <c r="G425">
        <v>348</v>
      </c>
      <c r="H425">
        <v>599.37660000000005</v>
      </c>
    </row>
    <row r="426" spans="7:8" x14ac:dyDescent="0.3">
      <c r="G426">
        <v>349</v>
      </c>
      <c r="H426">
        <v>559.80629999999996</v>
      </c>
    </row>
    <row r="427" spans="7:8" x14ac:dyDescent="0.3">
      <c r="G427">
        <v>350</v>
      </c>
      <c r="H427">
        <v>526.93349999999998</v>
      </c>
    </row>
    <row r="428" spans="7:8" x14ac:dyDescent="0.3">
      <c r="G428">
        <v>351</v>
      </c>
      <c r="H428">
        <v>596.15300000000002</v>
      </c>
    </row>
    <row r="429" spans="7:8" x14ac:dyDescent="0.3">
      <c r="G429">
        <v>352</v>
      </c>
      <c r="H429">
        <v>594.58979999999997</v>
      </c>
    </row>
    <row r="430" spans="7:8" x14ac:dyDescent="0.3">
      <c r="G430">
        <v>353</v>
      </c>
      <c r="H430">
        <v>646.20600000000002</v>
      </c>
    </row>
    <row r="431" spans="7:8" x14ac:dyDescent="0.3">
      <c r="G431">
        <v>354</v>
      </c>
      <c r="H431">
        <v>546.60170000000005</v>
      </c>
    </row>
    <row r="432" spans="7:8" x14ac:dyDescent="0.3">
      <c r="G432">
        <v>355</v>
      </c>
      <c r="H432">
        <v>611.39769999999999</v>
      </c>
    </row>
    <row r="433" spans="7:8" x14ac:dyDescent="0.3">
      <c r="G433">
        <v>356</v>
      </c>
      <c r="H433">
        <v>643.5308</v>
      </c>
    </row>
    <row r="434" spans="7:8" x14ac:dyDescent="0.3">
      <c r="G434">
        <v>357</v>
      </c>
      <c r="H434">
        <v>579.82270000000005</v>
      </c>
    </row>
    <row r="435" spans="7:8" x14ac:dyDescent="0.3">
      <c r="G435">
        <v>358</v>
      </c>
      <c r="H435">
        <v>664.63599999999997</v>
      </c>
    </row>
    <row r="436" spans="7:8" x14ac:dyDescent="0.3">
      <c r="G436">
        <v>359</v>
      </c>
      <c r="H436">
        <v>535.3184</v>
      </c>
    </row>
    <row r="437" spans="7:8" x14ac:dyDescent="0.3">
      <c r="G437">
        <v>360</v>
      </c>
      <c r="H437">
        <v>626.04330000000004</v>
      </c>
    </row>
    <row r="438" spans="7:8" x14ac:dyDescent="0.3">
      <c r="G438">
        <v>361</v>
      </c>
      <c r="H438">
        <v>543.57870000000003</v>
      </c>
    </row>
    <row r="439" spans="7:8" x14ac:dyDescent="0.3">
      <c r="G439">
        <v>362</v>
      </c>
      <c r="H439">
        <v>557.32809999999995</v>
      </c>
    </row>
    <row r="440" spans="7:8" x14ac:dyDescent="0.3">
      <c r="G440">
        <v>363</v>
      </c>
      <c r="H440">
        <v>474.88170000000002</v>
      </c>
    </row>
    <row r="441" spans="7:8" x14ac:dyDescent="0.3">
      <c r="G441">
        <v>364</v>
      </c>
      <c r="H441">
        <v>549.11990000000003</v>
      </c>
    </row>
    <row r="442" spans="7:8" x14ac:dyDescent="0.3">
      <c r="G442">
        <v>365</v>
      </c>
      <c r="H442">
        <v>572.8827</v>
      </c>
    </row>
    <row r="443" spans="7:8" x14ac:dyDescent="0.3">
      <c r="G443">
        <v>366</v>
      </c>
      <c r="H443">
        <v>526.20450000000005</v>
      </c>
    </row>
    <row r="444" spans="7:8" x14ac:dyDescent="0.3">
      <c r="G444">
        <v>367</v>
      </c>
      <c r="H444">
        <v>722.16369999999995</v>
      </c>
    </row>
    <row r="445" spans="7:8" x14ac:dyDescent="0.3">
      <c r="G445">
        <v>368</v>
      </c>
      <c r="H445">
        <v>656.67089999999996</v>
      </c>
    </row>
    <row r="446" spans="7:8" x14ac:dyDescent="0.3">
      <c r="G446">
        <v>369</v>
      </c>
      <c r="H446">
        <v>577.50540000000001</v>
      </c>
    </row>
    <row r="447" spans="7:8" x14ac:dyDescent="0.3">
      <c r="G447">
        <v>370</v>
      </c>
      <c r="H447">
        <v>579.78189999999995</v>
      </c>
    </row>
    <row r="448" spans="7:8" x14ac:dyDescent="0.3">
      <c r="G448">
        <v>371</v>
      </c>
      <c r="H448">
        <v>730.37819999999999</v>
      </c>
    </row>
    <row r="449" spans="7:8" x14ac:dyDescent="0.3">
      <c r="G449">
        <v>372</v>
      </c>
      <c r="H449">
        <v>615.28330000000005</v>
      </c>
    </row>
    <row r="450" spans="7:8" x14ac:dyDescent="0.3">
      <c r="G450">
        <v>373</v>
      </c>
      <c r="H450">
        <v>532.87379999999996</v>
      </c>
    </row>
    <row r="451" spans="7:8" x14ac:dyDescent="0.3">
      <c r="G451">
        <v>374</v>
      </c>
      <c r="H451">
        <v>571.15219999999999</v>
      </c>
    </row>
    <row r="452" spans="7:8" x14ac:dyDescent="0.3">
      <c r="G452">
        <v>375</v>
      </c>
      <c r="H452">
        <v>655.69860000000006</v>
      </c>
    </row>
    <row r="453" spans="7:8" x14ac:dyDescent="0.3">
      <c r="G453">
        <v>376</v>
      </c>
      <c r="H453">
        <v>449.93729999999999</v>
      </c>
    </row>
    <row r="454" spans="7:8" x14ac:dyDescent="0.3">
      <c r="G454">
        <v>377</v>
      </c>
      <c r="H454">
        <v>575.37040000000002</v>
      </c>
    </row>
    <row r="455" spans="7:8" x14ac:dyDescent="0.3">
      <c r="G455">
        <v>378</v>
      </c>
      <c r="H455">
        <v>553.73869999999999</v>
      </c>
    </row>
    <row r="456" spans="7:8" x14ac:dyDescent="0.3">
      <c r="G456">
        <v>379</v>
      </c>
      <c r="H456">
        <v>567.85230000000001</v>
      </c>
    </row>
    <row r="457" spans="7:8" x14ac:dyDescent="0.3">
      <c r="G457">
        <v>380</v>
      </c>
      <c r="H457">
        <v>476.96179999999998</v>
      </c>
    </row>
    <row r="458" spans="7:8" x14ac:dyDescent="0.3">
      <c r="G458">
        <v>381</v>
      </c>
      <c r="H458">
        <v>591.65719999999999</v>
      </c>
    </row>
    <row r="459" spans="7:8" x14ac:dyDescent="0.3">
      <c r="G459">
        <v>382</v>
      </c>
      <c r="H459">
        <v>599.41610000000003</v>
      </c>
    </row>
    <row r="460" spans="7:8" x14ac:dyDescent="0.3">
      <c r="G460">
        <v>383</v>
      </c>
      <c r="H460">
        <v>563.7441</v>
      </c>
    </row>
    <row r="461" spans="7:8" x14ac:dyDescent="0.3">
      <c r="G461">
        <v>384</v>
      </c>
      <c r="H461">
        <v>672.59169999999995</v>
      </c>
    </row>
    <row r="462" spans="7:8" x14ac:dyDescent="0.3">
      <c r="G462">
        <v>385</v>
      </c>
      <c r="H462">
        <v>559.55690000000004</v>
      </c>
    </row>
    <row r="463" spans="7:8" x14ac:dyDescent="0.3">
      <c r="G463">
        <v>386</v>
      </c>
      <c r="H463">
        <v>481.12189999999998</v>
      </c>
    </row>
    <row r="464" spans="7:8" x14ac:dyDescent="0.3">
      <c r="G464">
        <v>387</v>
      </c>
      <c r="H464">
        <v>720.19740000000002</v>
      </c>
    </row>
    <row r="465" spans="7:8" x14ac:dyDescent="0.3">
      <c r="G465">
        <v>388</v>
      </c>
      <c r="H465">
        <v>583.34460000000001</v>
      </c>
    </row>
    <row r="466" spans="7:8" x14ac:dyDescent="0.3">
      <c r="G466">
        <v>389</v>
      </c>
      <c r="H466">
        <v>672.75210000000004</v>
      </c>
    </row>
    <row r="467" spans="7:8" x14ac:dyDescent="0.3">
      <c r="G467">
        <v>390</v>
      </c>
      <c r="H467">
        <v>649.24509999999998</v>
      </c>
    </row>
    <row r="468" spans="7:8" x14ac:dyDescent="0.3">
      <c r="G468">
        <v>391</v>
      </c>
      <c r="H468">
        <v>655.48509999999999</v>
      </c>
    </row>
    <row r="469" spans="7:8" x14ac:dyDescent="0.3">
      <c r="G469">
        <v>392</v>
      </c>
      <c r="H469">
        <v>627.47180000000003</v>
      </c>
    </row>
    <row r="470" spans="7:8" x14ac:dyDescent="0.3">
      <c r="G470">
        <v>393</v>
      </c>
      <c r="H470">
        <v>603.79449999999997</v>
      </c>
    </row>
    <row r="471" spans="7:8" x14ac:dyDescent="0.3">
      <c r="G471">
        <v>394</v>
      </c>
      <c r="H471">
        <v>511.62920000000003</v>
      </c>
    </row>
    <row r="472" spans="7:8" x14ac:dyDescent="0.3">
      <c r="G472">
        <v>395</v>
      </c>
      <c r="H472">
        <v>454.8082</v>
      </c>
    </row>
    <row r="473" spans="7:8" x14ac:dyDescent="0.3">
      <c r="G473">
        <v>396</v>
      </c>
      <c r="H473">
        <v>549.0675</v>
      </c>
    </row>
    <row r="474" spans="7:8" x14ac:dyDescent="0.3">
      <c r="G474">
        <v>397</v>
      </c>
      <c r="H474">
        <v>615.4778</v>
      </c>
    </row>
    <row r="475" spans="7:8" x14ac:dyDescent="0.3">
      <c r="G475">
        <v>398</v>
      </c>
      <c r="H475">
        <v>584.64170000000001</v>
      </c>
    </row>
    <row r="476" spans="7:8" x14ac:dyDescent="0.3">
      <c r="G476">
        <v>399</v>
      </c>
      <c r="H476">
        <v>628.54679999999996</v>
      </c>
    </row>
    <row r="477" spans="7:8" x14ac:dyDescent="0.3">
      <c r="G477">
        <v>400</v>
      </c>
      <c r="H477">
        <v>569.86180000000002</v>
      </c>
    </row>
    <row r="478" spans="7:8" x14ac:dyDescent="0.3">
      <c r="G478">
        <v>401</v>
      </c>
      <c r="H478">
        <v>597.90959999999995</v>
      </c>
    </row>
    <row r="479" spans="7:8" x14ac:dyDescent="0.3">
      <c r="G479">
        <v>402</v>
      </c>
      <c r="H479">
        <v>606.60839999999996</v>
      </c>
    </row>
    <row r="480" spans="7:8" x14ac:dyDescent="0.3">
      <c r="G480">
        <v>403</v>
      </c>
      <c r="H480">
        <v>490.80180000000001</v>
      </c>
    </row>
    <row r="481" spans="7:8" x14ac:dyDescent="0.3">
      <c r="G481">
        <v>404</v>
      </c>
      <c r="H481">
        <v>493.27789999999999</v>
      </c>
    </row>
    <row r="482" spans="7:8" x14ac:dyDescent="0.3">
      <c r="G482">
        <v>405</v>
      </c>
      <c r="H482">
        <v>668.68029999999999</v>
      </c>
    </row>
    <row r="483" spans="7:8" x14ac:dyDescent="0.3">
      <c r="G483">
        <v>406</v>
      </c>
      <c r="H483">
        <v>555.27319999999997</v>
      </c>
    </row>
    <row r="484" spans="7:8" x14ac:dyDescent="0.3">
      <c r="G484">
        <v>407</v>
      </c>
      <c r="H484">
        <v>637.18089999999995</v>
      </c>
    </row>
    <row r="485" spans="7:8" x14ac:dyDescent="0.3">
      <c r="G485">
        <v>408</v>
      </c>
      <c r="H485">
        <v>544.61609999999996</v>
      </c>
    </row>
    <row r="486" spans="7:8" x14ac:dyDescent="0.3">
      <c r="G486">
        <v>409</v>
      </c>
      <c r="H486">
        <v>615.83389999999997</v>
      </c>
    </row>
    <row r="487" spans="7:8" x14ac:dyDescent="0.3">
      <c r="G487">
        <v>410</v>
      </c>
      <c r="H487">
        <v>623.72699999999998</v>
      </c>
    </row>
    <row r="488" spans="7:8" x14ac:dyDescent="0.3">
      <c r="G488">
        <v>411</v>
      </c>
      <c r="H488">
        <v>519.72220000000004</v>
      </c>
    </row>
    <row r="489" spans="7:8" x14ac:dyDescent="0.3">
      <c r="G489">
        <v>412</v>
      </c>
      <c r="H489">
        <v>565.41139999999996</v>
      </c>
    </row>
    <row r="490" spans="7:8" x14ac:dyDescent="0.3">
      <c r="G490">
        <v>413</v>
      </c>
      <c r="H490">
        <v>703.46860000000004</v>
      </c>
    </row>
    <row r="491" spans="7:8" x14ac:dyDescent="0.3">
      <c r="G491">
        <v>414</v>
      </c>
      <c r="H491">
        <v>472.40940000000001</v>
      </c>
    </row>
    <row r="492" spans="7:8" x14ac:dyDescent="0.3">
      <c r="G492">
        <v>415</v>
      </c>
      <c r="H492">
        <v>501.39620000000002</v>
      </c>
    </row>
    <row r="493" spans="7:8" x14ac:dyDescent="0.3">
      <c r="G493">
        <v>416</v>
      </c>
      <c r="H493">
        <v>557.34630000000004</v>
      </c>
    </row>
    <row r="494" spans="7:8" x14ac:dyDescent="0.3">
      <c r="G494">
        <v>417</v>
      </c>
      <c r="H494">
        <v>579.0394</v>
      </c>
    </row>
    <row r="495" spans="7:8" x14ac:dyDescent="0.3">
      <c r="G495">
        <v>418</v>
      </c>
      <c r="H495">
        <v>585.90949999999998</v>
      </c>
    </row>
    <row r="496" spans="7:8" x14ac:dyDescent="0.3">
      <c r="G496">
        <v>419</v>
      </c>
      <c r="H496">
        <v>692.75260000000003</v>
      </c>
    </row>
    <row r="497" spans="7:8" x14ac:dyDescent="0.3">
      <c r="G497">
        <v>420</v>
      </c>
      <c r="H497">
        <v>709.58709999999996</v>
      </c>
    </row>
    <row r="498" spans="7:8" x14ac:dyDescent="0.3">
      <c r="G498">
        <v>421</v>
      </c>
      <c r="H498">
        <v>477.61040000000003</v>
      </c>
    </row>
    <row r="499" spans="7:8" x14ac:dyDescent="0.3">
      <c r="G499">
        <v>422</v>
      </c>
      <c r="H499">
        <v>608.76800000000003</v>
      </c>
    </row>
    <row r="500" spans="7:8" x14ac:dyDescent="0.3">
      <c r="G500">
        <v>423</v>
      </c>
      <c r="H500">
        <v>567.35050000000001</v>
      </c>
    </row>
    <row r="501" spans="7:8" x14ac:dyDescent="0.3">
      <c r="G501">
        <v>424</v>
      </c>
      <c r="H501">
        <v>548.90499999999997</v>
      </c>
    </row>
    <row r="502" spans="7:8" x14ac:dyDescent="0.3">
      <c r="G502">
        <v>425</v>
      </c>
      <c r="H502">
        <v>667.86109999999996</v>
      </c>
    </row>
    <row r="503" spans="7:8" x14ac:dyDescent="0.3">
      <c r="G503">
        <v>426</v>
      </c>
      <c r="H503">
        <v>630.52940000000001</v>
      </c>
    </row>
    <row r="504" spans="7:8" x14ac:dyDescent="0.3">
      <c r="G504">
        <v>427</v>
      </c>
      <c r="H504">
        <v>544.13530000000003</v>
      </c>
    </row>
    <row r="505" spans="7:8" x14ac:dyDescent="0.3">
      <c r="G505">
        <v>428</v>
      </c>
      <c r="H505">
        <v>461.08420000000001</v>
      </c>
    </row>
    <row r="506" spans="7:8" x14ac:dyDescent="0.3">
      <c r="G506">
        <v>429</v>
      </c>
      <c r="H506">
        <v>605.65949999999998</v>
      </c>
    </row>
    <row r="507" spans="7:8" x14ac:dyDescent="0.3">
      <c r="G507">
        <v>430</v>
      </c>
      <c r="H507">
        <v>535.91229999999996</v>
      </c>
    </row>
    <row r="508" spans="7:8" x14ac:dyDescent="0.3">
      <c r="G508">
        <v>431</v>
      </c>
      <c r="H508">
        <v>627.40020000000004</v>
      </c>
    </row>
    <row r="509" spans="7:8" x14ac:dyDescent="0.3">
      <c r="G509">
        <v>432</v>
      </c>
      <c r="H509">
        <v>647.28989999999999</v>
      </c>
    </row>
    <row r="510" spans="7:8" x14ac:dyDescent="0.3">
      <c r="G510">
        <v>433</v>
      </c>
      <c r="H510">
        <v>580.86580000000004</v>
      </c>
    </row>
    <row r="511" spans="7:8" x14ac:dyDescent="0.3">
      <c r="G511">
        <v>434</v>
      </c>
      <c r="H511">
        <v>559.42229999999995</v>
      </c>
    </row>
    <row r="512" spans="7:8" x14ac:dyDescent="0.3">
      <c r="G512">
        <v>435</v>
      </c>
      <c r="H512">
        <v>561.2518</v>
      </c>
    </row>
    <row r="513" spans="7:8" x14ac:dyDescent="0.3">
      <c r="G513">
        <v>436</v>
      </c>
      <c r="H513">
        <v>539.96969999999999</v>
      </c>
    </row>
    <row r="514" spans="7:8" x14ac:dyDescent="0.3">
      <c r="G514">
        <v>437</v>
      </c>
      <c r="H514">
        <v>617.9357</v>
      </c>
    </row>
    <row r="515" spans="7:8" x14ac:dyDescent="0.3">
      <c r="G515">
        <v>438</v>
      </c>
      <c r="H515">
        <v>573.04560000000004</v>
      </c>
    </row>
    <row r="516" spans="7:8" x14ac:dyDescent="0.3">
      <c r="G516">
        <v>439</v>
      </c>
      <c r="H516">
        <v>571.80640000000005</v>
      </c>
    </row>
    <row r="517" spans="7:8" x14ac:dyDescent="0.3">
      <c r="G517">
        <v>440</v>
      </c>
      <c r="H517">
        <v>564.28420000000006</v>
      </c>
    </row>
    <row r="518" spans="7:8" x14ac:dyDescent="0.3">
      <c r="G518">
        <v>441</v>
      </c>
      <c r="H518">
        <v>630.50890000000004</v>
      </c>
    </row>
    <row r="519" spans="7:8" x14ac:dyDescent="0.3">
      <c r="G519">
        <v>442</v>
      </c>
      <c r="H519">
        <v>521.00699999999995</v>
      </c>
    </row>
    <row r="520" spans="7:8" x14ac:dyDescent="0.3">
      <c r="G520">
        <v>443</v>
      </c>
      <c r="H520">
        <v>527.73350000000005</v>
      </c>
    </row>
    <row r="521" spans="7:8" x14ac:dyDescent="0.3">
      <c r="G521">
        <v>444</v>
      </c>
      <c r="H521">
        <v>638.71730000000002</v>
      </c>
    </row>
    <row r="522" spans="7:8" x14ac:dyDescent="0.3">
      <c r="G522">
        <v>445</v>
      </c>
      <c r="H522">
        <v>651.55679999999995</v>
      </c>
    </row>
    <row r="523" spans="7:8" x14ac:dyDescent="0.3">
      <c r="G523">
        <v>446</v>
      </c>
      <c r="H523">
        <v>553.64440000000002</v>
      </c>
    </row>
    <row r="524" spans="7:8" x14ac:dyDescent="0.3">
      <c r="G524">
        <v>447</v>
      </c>
      <c r="H524">
        <v>629.36890000000005</v>
      </c>
    </row>
    <row r="525" spans="7:8" x14ac:dyDescent="0.3">
      <c r="G525">
        <v>448</v>
      </c>
      <c r="H525">
        <v>480.6737</v>
      </c>
    </row>
    <row r="526" spans="7:8" x14ac:dyDescent="0.3">
      <c r="G526">
        <v>449</v>
      </c>
      <c r="H526">
        <v>641.22490000000005</v>
      </c>
    </row>
    <row r="527" spans="7:8" x14ac:dyDescent="0.3">
      <c r="G527">
        <v>450</v>
      </c>
      <c r="H527">
        <v>506.57839999999999</v>
      </c>
    </row>
    <row r="528" spans="7:8" x14ac:dyDescent="0.3">
      <c r="G528">
        <v>451</v>
      </c>
      <c r="H528">
        <v>527.97889999999995</v>
      </c>
    </row>
    <row r="529" spans="7:8" x14ac:dyDescent="0.3">
      <c r="G529">
        <v>452</v>
      </c>
      <c r="H529">
        <v>584.79660000000001</v>
      </c>
    </row>
    <row r="530" spans="7:8" x14ac:dyDescent="0.3">
      <c r="G530">
        <v>453</v>
      </c>
      <c r="H530">
        <v>567.92579999999998</v>
      </c>
    </row>
    <row r="531" spans="7:8" x14ac:dyDescent="0.3">
      <c r="G531">
        <v>454</v>
      </c>
      <c r="H531">
        <v>654.76700000000005</v>
      </c>
    </row>
    <row r="532" spans="7:8" x14ac:dyDescent="0.3">
      <c r="G532">
        <v>455</v>
      </c>
      <c r="H532">
        <v>545.04390000000001</v>
      </c>
    </row>
    <row r="533" spans="7:8" x14ac:dyDescent="0.3">
      <c r="G533">
        <v>456</v>
      </c>
      <c r="H533">
        <v>556.51890000000003</v>
      </c>
    </row>
    <row r="534" spans="7:8" x14ac:dyDescent="0.3">
      <c r="G534">
        <v>457</v>
      </c>
      <c r="H534">
        <v>519.42110000000002</v>
      </c>
    </row>
    <row r="535" spans="7:8" x14ac:dyDescent="0.3">
      <c r="G535">
        <v>458</v>
      </c>
      <c r="H535">
        <v>589.88499999999999</v>
      </c>
    </row>
    <row r="536" spans="7:8" x14ac:dyDescent="0.3">
      <c r="G536">
        <v>459</v>
      </c>
      <c r="H536">
        <v>638.60730000000001</v>
      </c>
    </row>
    <row r="537" spans="7:8" x14ac:dyDescent="0.3">
      <c r="G537">
        <v>460</v>
      </c>
      <c r="H537">
        <v>621.80520000000001</v>
      </c>
    </row>
    <row r="538" spans="7:8" x14ac:dyDescent="0.3">
      <c r="G538">
        <v>461</v>
      </c>
      <c r="H538">
        <v>566.62490000000003</v>
      </c>
    </row>
    <row r="539" spans="7:8" x14ac:dyDescent="0.3">
      <c r="G539">
        <v>462</v>
      </c>
      <c r="H539">
        <v>587.52850000000001</v>
      </c>
    </row>
    <row r="540" spans="7:8" x14ac:dyDescent="0.3">
      <c r="G540">
        <v>463</v>
      </c>
      <c r="H540">
        <v>574.71040000000005</v>
      </c>
    </row>
    <row r="541" spans="7:8" x14ac:dyDescent="0.3">
      <c r="G541">
        <v>464</v>
      </c>
      <c r="H541">
        <v>492.12360000000001</v>
      </c>
    </row>
    <row r="542" spans="7:8" x14ac:dyDescent="0.3">
      <c r="G542">
        <v>465</v>
      </c>
      <c r="H542">
        <v>538.77110000000005</v>
      </c>
    </row>
    <row r="543" spans="7:8" x14ac:dyDescent="0.3">
      <c r="G543">
        <v>466</v>
      </c>
      <c r="H543">
        <v>646.00300000000004</v>
      </c>
    </row>
    <row r="544" spans="7:8" x14ac:dyDescent="0.3">
      <c r="G544">
        <v>467</v>
      </c>
      <c r="H544">
        <v>544.67700000000002</v>
      </c>
    </row>
    <row r="545" spans="7:8" x14ac:dyDescent="0.3">
      <c r="G545">
        <v>468</v>
      </c>
      <c r="H545">
        <v>601.36959999999999</v>
      </c>
    </row>
    <row r="546" spans="7:8" x14ac:dyDescent="0.3">
      <c r="G546">
        <v>469</v>
      </c>
      <c r="H546">
        <v>656.00710000000004</v>
      </c>
    </row>
    <row r="547" spans="7:8" x14ac:dyDescent="0.3">
      <c r="G547">
        <v>470</v>
      </c>
      <c r="H547">
        <v>508.64010000000002</v>
      </c>
    </row>
    <row r="548" spans="7:8" x14ac:dyDescent="0.3">
      <c r="G548">
        <v>471</v>
      </c>
      <c r="H548">
        <v>652.68389999999999</v>
      </c>
    </row>
    <row r="549" spans="7:8" x14ac:dyDescent="0.3">
      <c r="G549">
        <v>472</v>
      </c>
      <c r="H549">
        <v>537.23159999999996</v>
      </c>
    </row>
    <row r="550" spans="7:8" x14ac:dyDescent="0.3">
      <c r="G550">
        <v>473</v>
      </c>
      <c r="H550">
        <v>604.12390000000005</v>
      </c>
    </row>
    <row r="551" spans="7:8" x14ac:dyDescent="0.3">
      <c r="G551">
        <v>474</v>
      </c>
      <c r="H551">
        <v>556.13940000000002</v>
      </c>
    </row>
    <row r="552" spans="7:8" x14ac:dyDescent="0.3">
      <c r="G552">
        <v>475</v>
      </c>
      <c r="H552">
        <v>578.02480000000003</v>
      </c>
    </row>
    <row r="553" spans="7:8" x14ac:dyDescent="0.3">
      <c r="G553">
        <v>476</v>
      </c>
      <c r="H553">
        <v>558.08550000000002</v>
      </c>
    </row>
    <row r="554" spans="7:8" x14ac:dyDescent="0.3">
      <c r="G554">
        <v>477</v>
      </c>
      <c r="H554">
        <v>498.92959999999999</v>
      </c>
    </row>
    <row r="555" spans="7:8" x14ac:dyDescent="0.3">
      <c r="G555">
        <v>478</v>
      </c>
      <c r="H555">
        <v>722.19539999999995</v>
      </c>
    </row>
    <row r="556" spans="7:8" x14ac:dyDescent="0.3">
      <c r="G556">
        <v>479</v>
      </c>
      <c r="H556">
        <v>731.43029999999999</v>
      </c>
    </row>
    <row r="557" spans="7:8" x14ac:dyDescent="0.3">
      <c r="G557">
        <v>480</v>
      </c>
      <c r="H557">
        <v>516.12980000000005</v>
      </c>
    </row>
    <row r="558" spans="7:8" x14ac:dyDescent="0.3">
      <c r="G558">
        <v>481</v>
      </c>
      <c r="H558">
        <v>606.30709999999999</v>
      </c>
    </row>
    <row r="559" spans="7:8" x14ac:dyDescent="0.3">
      <c r="G559">
        <v>482</v>
      </c>
      <c r="H559">
        <v>558.35</v>
      </c>
    </row>
    <row r="560" spans="7:8" x14ac:dyDescent="0.3">
      <c r="G560">
        <v>483</v>
      </c>
      <c r="H560">
        <v>589.21299999999997</v>
      </c>
    </row>
    <row r="561" spans="7:8" x14ac:dyDescent="0.3">
      <c r="G561">
        <v>484</v>
      </c>
      <c r="H561">
        <v>597.46400000000006</v>
      </c>
    </row>
    <row r="562" spans="7:8" x14ac:dyDescent="0.3">
      <c r="G562">
        <v>485</v>
      </c>
      <c r="H562">
        <v>479.61829999999998</v>
      </c>
    </row>
    <row r="563" spans="7:8" x14ac:dyDescent="0.3">
      <c r="G563">
        <v>486</v>
      </c>
      <c r="H563">
        <v>666.65859999999998</v>
      </c>
    </row>
    <row r="564" spans="7:8" x14ac:dyDescent="0.3">
      <c r="G564">
        <v>487</v>
      </c>
      <c r="H564">
        <v>495.54969999999997</v>
      </c>
    </row>
    <row r="565" spans="7:8" x14ac:dyDescent="0.3">
      <c r="G565">
        <v>488</v>
      </c>
      <c r="H565">
        <v>592.26379999999995</v>
      </c>
    </row>
    <row r="566" spans="7:8" x14ac:dyDescent="0.3">
      <c r="G566">
        <v>489</v>
      </c>
      <c r="H566">
        <v>655.03160000000003</v>
      </c>
    </row>
    <row r="567" spans="7:8" x14ac:dyDescent="0.3">
      <c r="G567">
        <v>490</v>
      </c>
      <c r="H567">
        <v>660.75419999999997</v>
      </c>
    </row>
    <row r="568" spans="7:8" x14ac:dyDescent="0.3">
      <c r="G568">
        <v>491</v>
      </c>
      <c r="H568">
        <v>629.3895</v>
      </c>
    </row>
    <row r="569" spans="7:8" x14ac:dyDescent="0.3">
      <c r="G569">
        <v>492</v>
      </c>
      <c r="H569">
        <v>636.78840000000002</v>
      </c>
    </row>
    <row r="570" spans="7:8" x14ac:dyDescent="0.3">
      <c r="G570">
        <v>493</v>
      </c>
      <c r="H570">
        <v>664.91719999999998</v>
      </c>
    </row>
    <row r="571" spans="7:8" x14ac:dyDescent="0.3">
      <c r="G571">
        <v>494</v>
      </c>
      <c r="H571">
        <v>578.47140000000002</v>
      </c>
    </row>
    <row r="572" spans="7:8" x14ac:dyDescent="0.3">
      <c r="G572">
        <v>495</v>
      </c>
      <c r="H572">
        <v>481.31380000000001</v>
      </c>
    </row>
    <row r="573" spans="7:8" x14ac:dyDescent="0.3">
      <c r="G573">
        <v>496</v>
      </c>
      <c r="H573">
        <v>605.70780000000002</v>
      </c>
    </row>
    <row r="574" spans="7:8" x14ac:dyDescent="0.3">
      <c r="G574">
        <v>497</v>
      </c>
      <c r="H574">
        <v>555.57479999999998</v>
      </c>
    </row>
    <row r="575" spans="7:8" x14ac:dyDescent="0.3">
      <c r="G575">
        <v>498</v>
      </c>
      <c r="H575">
        <v>596.74770000000001</v>
      </c>
    </row>
    <row r="576" spans="7:8" x14ac:dyDescent="0.3">
      <c r="G576">
        <v>499</v>
      </c>
      <c r="H576">
        <v>660.61040000000003</v>
      </c>
    </row>
    <row r="577" spans="7:8" x14ac:dyDescent="0.3">
      <c r="G577">
        <v>500</v>
      </c>
      <c r="H577">
        <v>612.59199999999998</v>
      </c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Drop Down 1">
              <controlPr defaultSize="0" autoLine="0" autoPict="0">
                <anchor moveWithCells="1">
                  <from>
                    <xdr:col>4</xdr:col>
                    <xdr:colOff>7620</xdr:colOff>
                    <xdr:row>16</xdr:row>
                    <xdr:rowOff>182880</xdr:rowOff>
                  </from>
                  <to>
                    <xdr:col>4</xdr:col>
                    <xdr:colOff>1242060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5" name="Drop Down 2">
              <controlPr defaultSize="0" autoLine="0" autoPict="0">
                <anchor moveWithCells="1">
                  <from>
                    <xdr:col>3</xdr:col>
                    <xdr:colOff>2712720</xdr:colOff>
                    <xdr:row>3</xdr:row>
                    <xdr:rowOff>0</xdr:rowOff>
                  </from>
                  <to>
                    <xdr:col>4</xdr:col>
                    <xdr:colOff>1188720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6" name="Drop Down 3">
              <controlPr defaultSize="0" autoLine="0" autoPict="0">
                <anchor moveWithCells="1">
                  <from>
                    <xdr:col>4</xdr:col>
                    <xdr:colOff>7620</xdr:colOff>
                    <xdr:row>18</xdr:row>
                    <xdr:rowOff>7620</xdr:rowOff>
                  </from>
                  <to>
                    <xdr:col>4</xdr:col>
                    <xdr:colOff>1242060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6BDE2-E680-46FF-B377-84D5C145A503}">
  <sheetPr codeName="Sheet4"/>
  <dimension ref="A1:H180"/>
  <sheetViews>
    <sheetView zoomScale="110" zoomScaleNormal="110" workbookViewId="0">
      <selection activeCell="D24" sqref="D24"/>
    </sheetView>
  </sheetViews>
  <sheetFormatPr defaultRowHeight="14.4" outlineLevelRow="1" x14ac:dyDescent="0.3"/>
  <cols>
    <col min="1" max="1" width="3" customWidth="1"/>
    <col min="4" max="4" width="10" bestFit="1" customWidth="1"/>
    <col min="5" max="5" width="14.6640625" bestFit="1" customWidth="1"/>
    <col min="6" max="6" width="9.44140625" bestFit="1" customWidth="1"/>
    <col min="7" max="7" width="9.6640625" bestFit="1" customWidth="1"/>
    <col min="8" max="8" width="14.33203125" bestFit="1" customWidth="1"/>
  </cols>
  <sheetData>
    <row r="1" spans="1:6" x14ac:dyDescent="0.3">
      <c r="A1" s="7" t="s">
        <v>210</v>
      </c>
    </row>
    <row r="3" spans="1:6" x14ac:dyDescent="0.3">
      <c r="A3" s="7" t="s">
        <v>211</v>
      </c>
    </row>
    <row r="4" spans="1:6" outlineLevel="1" x14ac:dyDescent="0.3">
      <c r="B4" t="s">
        <v>212</v>
      </c>
    </row>
    <row r="5" spans="1:6" outlineLevel="1" x14ac:dyDescent="0.3">
      <c r="B5" t="s">
        <v>213</v>
      </c>
    </row>
    <row r="6" spans="1:6" outlineLevel="1" x14ac:dyDescent="0.3">
      <c r="B6" t="s">
        <v>214</v>
      </c>
    </row>
    <row r="7" spans="1:6" outlineLevel="1" x14ac:dyDescent="0.3"/>
    <row r="8" spans="1:6" outlineLevel="1" x14ac:dyDescent="0.3">
      <c r="A8" t="s">
        <v>0</v>
      </c>
    </row>
    <row r="9" spans="1:6" outlineLevel="1" x14ac:dyDescent="0.3">
      <c r="B9" t="s">
        <v>280</v>
      </c>
      <c r="E9" s="32">
        <f ca="1">IO!E7/2/10*100000</f>
        <v>16499.999999999996</v>
      </c>
      <c r="F9" t="s">
        <v>215</v>
      </c>
    </row>
    <row r="10" spans="1:6" outlineLevel="1" x14ac:dyDescent="0.3">
      <c r="B10" t="s">
        <v>124</v>
      </c>
      <c r="E10" s="6">
        <f ca="1">IO!E8</f>
        <v>313.60948664460108</v>
      </c>
    </row>
    <row r="11" spans="1:6" outlineLevel="1" x14ac:dyDescent="0.3">
      <c r="B11" t="s">
        <v>2</v>
      </c>
      <c r="E11" s="6">
        <f>IO!E18</f>
        <v>389</v>
      </c>
    </row>
    <row r="12" spans="1:6" outlineLevel="1" x14ac:dyDescent="0.3">
      <c r="B12" t="s">
        <v>216</v>
      </c>
      <c r="E12" s="6">
        <f>IF(E11&gt;100,100,E11)</f>
        <v>100</v>
      </c>
    </row>
    <row r="13" spans="1:6" outlineLevel="1" x14ac:dyDescent="0.3"/>
    <row r="14" spans="1:6" outlineLevel="1" x14ac:dyDescent="0.3">
      <c r="A14" t="s">
        <v>1</v>
      </c>
    </row>
    <row r="15" spans="1:6" outlineLevel="1" x14ac:dyDescent="0.3">
      <c r="B15" t="s">
        <v>217</v>
      </c>
      <c r="E15" s="6">
        <f ca="1">0.002*E9+138.77</f>
        <v>171.77</v>
      </c>
      <c r="F15" t="s">
        <v>8</v>
      </c>
    </row>
    <row r="16" spans="1:6" outlineLevel="1" x14ac:dyDescent="0.3">
      <c r="B16" t="s">
        <v>218</v>
      </c>
      <c r="E16" s="10">
        <f>1.19*(-388.1*LN(E12)+4206.7)</f>
        <v>2879.1258064734452</v>
      </c>
      <c r="F16" t="s">
        <v>219</v>
      </c>
    </row>
    <row r="17" spans="1:6" outlineLevel="1" x14ac:dyDescent="0.3">
      <c r="B17" t="s">
        <v>220</v>
      </c>
      <c r="E17" s="9">
        <f ca="1">E16*E15/1000*E10</f>
        <v>155094.76871016269</v>
      </c>
      <c r="F17" t="s">
        <v>221</v>
      </c>
    </row>
    <row r="18" spans="1:6" outlineLevel="1" x14ac:dyDescent="0.3">
      <c r="B18" t="s">
        <v>222</v>
      </c>
      <c r="E18" s="5">
        <f ca="1">E10*E15/1000</f>
        <v>53.868701520943134</v>
      </c>
      <c r="F18" t="s">
        <v>15</v>
      </c>
    </row>
    <row r="19" spans="1:6" outlineLevel="1" x14ac:dyDescent="0.3"/>
    <row r="20" spans="1:6" outlineLevel="1" x14ac:dyDescent="0.3"/>
    <row r="21" spans="1:6" x14ac:dyDescent="0.3">
      <c r="A21" s="7" t="s">
        <v>223</v>
      </c>
    </row>
    <row r="22" spans="1:6" outlineLevel="1" x14ac:dyDescent="0.3"/>
    <row r="23" spans="1:6" outlineLevel="1" x14ac:dyDescent="0.3">
      <c r="A23" t="s">
        <v>224</v>
      </c>
    </row>
    <row r="24" spans="1:6" outlineLevel="1" x14ac:dyDescent="0.3">
      <c r="B24" t="s">
        <v>225</v>
      </c>
    </row>
    <row r="25" spans="1:6" outlineLevel="1" x14ac:dyDescent="0.3">
      <c r="B25" t="s">
        <v>226</v>
      </c>
    </row>
    <row r="26" spans="1:6" outlineLevel="1" x14ac:dyDescent="0.3">
      <c r="B26" t="s">
        <v>227</v>
      </c>
    </row>
    <row r="27" spans="1:6" outlineLevel="1" x14ac:dyDescent="0.3">
      <c r="B27" t="s">
        <v>228</v>
      </c>
    </row>
    <row r="28" spans="1:6" outlineLevel="1" x14ac:dyDescent="0.3"/>
    <row r="29" spans="1:6" outlineLevel="1" x14ac:dyDescent="0.3">
      <c r="B29" t="s">
        <v>295</v>
      </c>
    </row>
    <row r="30" spans="1:6" outlineLevel="1" x14ac:dyDescent="0.3"/>
    <row r="31" spans="1:6" outlineLevel="1" x14ac:dyDescent="0.3">
      <c r="A31" t="s">
        <v>296</v>
      </c>
    </row>
    <row r="32" spans="1:6" outlineLevel="1" x14ac:dyDescent="0.3"/>
    <row r="33" spans="1:8" outlineLevel="1" x14ac:dyDescent="0.3">
      <c r="C33" t="s">
        <v>297</v>
      </c>
      <c r="D33" t="s">
        <v>298</v>
      </c>
      <c r="E33" t="s">
        <v>299</v>
      </c>
      <c r="F33" t="s">
        <v>300</v>
      </c>
      <c r="G33" t="s">
        <v>293</v>
      </c>
      <c r="H33" t="s">
        <v>301</v>
      </c>
    </row>
    <row r="34" spans="1:8" outlineLevel="1" x14ac:dyDescent="0.3">
      <c r="B34" t="s">
        <v>302</v>
      </c>
      <c r="C34" s="10">
        <v>265</v>
      </c>
      <c r="D34" s="10">
        <v>1040</v>
      </c>
      <c r="E34" s="10">
        <v>586</v>
      </c>
      <c r="F34" s="10">
        <v>60</v>
      </c>
      <c r="G34" s="10">
        <v>1951</v>
      </c>
      <c r="H34" s="9">
        <f>G34*1.74</f>
        <v>3394.74</v>
      </c>
    </row>
    <row r="35" spans="1:8" outlineLevel="1" x14ac:dyDescent="0.3">
      <c r="B35" t="s">
        <v>303</v>
      </c>
      <c r="C35" s="10">
        <v>1034</v>
      </c>
      <c r="D35" s="10">
        <v>1034</v>
      </c>
      <c r="E35" s="10">
        <v>586</v>
      </c>
      <c r="F35" s="10">
        <v>60</v>
      </c>
      <c r="G35" s="10">
        <v>2714</v>
      </c>
      <c r="H35" s="9">
        <f t="shared" ref="H35:H38" si="0">G35*1.74</f>
        <v>4722.3599999999997</v>
      </c>
    </row>
    <row r="36" spans="1:8" outlineLevel="1" x14ac:dyDescent="0.3">
      <c r="B36" t="s">
        <v>304</v>
      </c>
      <c r="C36" s="10">
        <v>0</v>
      </c>
      <c r="D36" s="10">
        <v>1560</v>
      </c>
      <c r="E36" s="10">
        <v>586</v>
      </c>
      <c r="F36" s="10">
        <v>60</v>
      </c>
      <c r="G36" s="10">
        <v>2206</v>
      </c>
      <c r="H36" s="9">
        <f t="shared" si="0"/>
        <v>3838.44</v>
      </c>
    </row>
    <row r="37" spans="1:8" outlineLevel="1" x14ac:dyDescent="0.3">
      <c r="B37" t="s">
        <v>305</v>
      </c>
      <c r="C37" s="10">
        <v>0</v>
      </c>
      <c r="D37" s="10">
        <v>1034</v>
      </c>
      <c r="E37" s="188">
        <v>586</v>
      </c>
      <c r="F37" s="10">
        <v>60</v>
      </c>
      <c r="G37" s="10">
        <v>1680</v>
      </c>
      <c r="H37" s="9">
        <f t="shared" si="0"/>
        <v>2923.2</v>
      </c>
    </row>
    <row r="38" spans="1:8" outlineLevel="1" x14ac:dyDescent="0.3">
      <c r="B38" t="s">
        <v>306</v>
      </c>
      <c r="C38" s="10">
        <v>0</v>
      </c>
      <c r="D38" s="10">
        <v>324</v>
      </c>
      <c r="E38" s="188">
        <v>94</v>
      </c>
      <c r="F38" s="10">
        <v>60</v>
      </c>
      <c r="G38" s="10">
        <v>478</v>
      </c>
      <c r="H38" s="9">
        <f t="shared" si="0"/>
        <v>831.72</v>
      </c>
    </row>
    <row r="39" spans="1:8" outlineLevel="1" x14ac:dyDescent="0.3"/>
    <row r="40" spans="1:8" outlineLevel="1" x14ac:dyDescent="0.3">
      <c r="A40" t="s">
        <v>307</v>
      </c>
      <c r="D40" s="189">
        <f>IO!E4</f>
        <v>2</v>
      </c>
    </row>
    <row r="41" spans="1:8" outlineLevel="1" x14ac:dyDescent="0.3">
      <c r="A41" t="s">
        <v>16</v>
      </c>
      <c r="D41" s="6">
        <f>IO!E29</f>
        <v>202</v>
      </c>
    </row>
    <row r="42" spans="1:8" outlineLevel="1" x14ac:dyDescent="0.3">
      <c r="A42" t="s">
        <v>2</v>
      </c>
      <c r="D42" s="6">
        <f>E12</f>
        <v>100</v>
      </c>
    </row>
    <row r="43" spans="1:8" outlineLevel="1" x14ac:dyDescent="0.3"/>
    <row r="44" spans="1:8" outlineLevel="1" x14ac:dyDescent="0.3">
      <c r="A44" t="s">
        <v>308</v>
      </c>
      <c r="D44" s="9">
        <f>IF(D40=1,H34,IF(D40=2,H35,IF(D40=3,H36,H37)))</f>
        <v>4722.3599999999997</v>
      </c>
    </row>
    <row r="45" spans="1:8" outlineLevel="1" x14ac:dyDescent="0.3"/>
    <row r="46" spans="1:8" outlineLevel="1" x14ac:dyDescent="0.3">
      <c r="A46" t="s">
        <v>309</v>
      </c>
      <c r="D46" s="9">
        <f>D44*E12^(-0.121)</f>
        <v>2704.9490648862402</v>
      </c>
      <c r="E46" t="s">
        <v>82</v>
      </c>
    </row>
    <row r="47" spans="1:8" outlineLevel="1" x14ac:dyDescent="0.3"/>
    <row r="48" spans="1:8" outlineLevel="1" x14ac:dyDescent="0.3">
      <c r="A48" t="s">
        <v>310</v>
      </c>
      <c r="D48" s="10">
        <f>10.208*D41+83344</f>
        <v>85406.016000000003</v>
      </c>
    </row>
    <row r="49" spans="1:7" outlineLevel="1" x14ac:dyDescent="0.3">
      <c r="E49" s="6"/>
    </row>
    <row r="50" spans="1:7" outlineLevel="1" x14ac:dyDescent="0.3">
      <c r="A50" t="s">
        <v>311</v>
      </c>
      <c r="D50">
        <v>1.2</v>
      </c>
      <c r="E50" s="6" t="s">
        <v>313</v>
      </c>
    </row>
    <row r="51" spans="1:7" outlineLevel="1" x14ac:dyDescent="0.3">
      <c r="E51" s="33"/>
    </row>
    <row r="52" spans="1:7" outlineLevel="1" x14ac:dyDescent="0.3">
      <c r="A52" t="s">
        <v>312</v>
      </c>
      <c r="D52" s="9">
        <f>D41*D46*D50+D48</f>
        <v>741085.66932842461</v>
      </c>
      <c r="E52" s="33"/>
    </row>
    <row r="53" spans="1:7" outlineLevel="1" x14ac:dyDescent="0.3">
      <c r="E53" s="33"/>
    </row>
    <row r="54" spans="1:7" outlineLevel="1" x14ac:dyDescent="0.3">
      <c r="E54" s="10"/>
    </row>
    <row r="55" spans="1:7" outlineLevel="1" x14ac:dyDescent="0.3">
      <c r="E55" s="10"/>
      <c r="G55" s="35"/>
    </row>
    <row r="56" spans="1:7" outlineLevel="1" x14ac:dyDescent="0.3">
      <c r="E56" s="10"/>
      <c r="G56" s="35"/>
    </row>
    <row r="57" spans="1:7" outlineLevel="1" x14ac:dyDescent="0.3">
      <c r="E57" s="10"/>
      <c r="G57" s="35"/>
    </row>
    <row r="58" spans="1:7" outlineLevel="1" x14ac:dyDescent="0.3">
      <c r="E58" s="10"/>
      <c r="G58" s="35"/>
    </row>
    <row r="59" spans="1:7" outlineLevel="1" x14ac:dyDescent="0.3">
      <c r="E59" s="10"/>
      <c r="G59" s="35"/>
    </row>
    <row r="60" spans="1:7" outlineLevel="1" x14ac:dyDescent="0.3">
      <c r="E60" s="10"/>
      <c r="G60" s="35"/>
    </row>
    <row r="61" spans="1:7" outlineLevel="1" x14ac:dyDescent="0.3">
      <c r="E61" s="10"/>
    </row>
    <row r="62" spans="1:7" x14ac:dyDescent="0.3">
      <c r="A62" s="7" t="s">
        <v>229</v>
      </c>
    </row>
    <row r="63" spans="1:7" outlineLevel="1" x14ac:dyDescent="0.3">
      <c r="B63" t="s">
        <v>230</v>
      </c>
    </row>
    <row r="64" spans="1:7" outlineLevel="1" x14ac:dyDescent="0.3">
      <c r="B64" t="s">
        <v>231</v>
      </c>
    </row>
    <row r="65" spans="1:6" outlineLevel="1" x14ac:dyDescent="0.3">
      <c r="B65" t="s">
        <v>232</v>
      </c>
    </row>
    <row r="66" spans="1:6" outlineLevel="1" x14ac:dyDescent="0.3">
      <c r="B66" t="s">
        <v>233</v>
      </c>
    </row>
    <row r="67" spans="1:6" outlineLevel="1" x14ac:dyDescent="0.3">
      <c r="B67" t="s">
        <v>234</v>
      </c>
    </row>
    <row r="68" spans="1:6" outlineLevel="1" x14ac:dyDescent="0.3"/>
    <row r="69" spans="1:6" outlineLevel="1" x14ac:dyDescent="0.3">
      <c r="A69" t="s">
        <v>0</v>
      </c>
    </row>
    <row r="70" spans="1:6" outlineLevel="1" x14ac:dyDescent="0.3">
      <c r="B70" t="s">
        <v>14</v>
      </c>
      <c r="E70">
        <f>IO!E13</f>
        <v>60</v>
      </c>
      <c r="F70" t="s">
        <v>4</v>
      </c>
    </row>
    <row r="71" spans="1:6" outlineLevel="1" x14ac:dyDescent="0.3">
      <c r="B71" t="s">
        <v>235</v>
      </c>
      <c r="E71" s="6">
        <f ca="1">E10*1.025</f>
        <v>321.44972381071608</v>
      </c>
      <c r="F71" t="s">
        <v>9</v>
      </c>
    </row>
    <row r="72" spans="1:6" outlineLevel="1" x14ac:dyDescent="0.3"/>
    <row r="73" spans="1:6" outlineLevel="1" x14ac:dyDescent="0.3">
      <c r="A73" t="s">
        <v>1</v>
      </c>
    </row>
    <row r="74" spans="1:6" outlineLevel="1" x14ac:dyDescent="0.3">
      <c r="B74" t="s">
        <v>236</v>
      </c>
      <c r="E74" s="6">
        <f ca="1">E71/25</f>
        <v>12.857988952428643</v>
      </c>
      <c r="F74" t="s">
        <v>9</v>
      </c>
    </row>
    <row r="75" spans="1:6" outlineLevel="1" x14ac:dyDescent="0.3">
      <c r="B75" t="s">
        <v>237</v>
      </c>
      <c r="E75" s="10">
        <f ca="1">E74*6000</f>
        <v>77147.93371457186</v>
      </c>
    </row>
    <row r="76" spans="1:6" outlineLevel="1" x14ac:dyDescent="0.3">
      <c r="B76" t="s">
        <v>238</v>
      </c>
      <c r="E76" s="10">
        <f ca="1">8.02*E70*E71</f>
        <v>154681.60709771657</v>
      </c>
    </row>
    <row r="77" spans="1:6" outlineLevel="1" x14ac:dyDescent="0.3">
      <c r="B77" t="s">
        <v>239</v>
      </c>
      <c r="E77" s="6">
        <f ca="1">0.09*E71</f>
        <v>28.930475142964447</v>
      </c>
      <c r="F77" t="s">
        <v>9</v>
      </c>
    </row>
    <row r="78" spans="1:6" outlineLevel="1" x14ac:dyDescent="0.3">
      <c r="B78" t="s">
        <v>240</v>
      </c>
      <c r="E78" s="9">
        <f ca="1">E75+E76</f>
        <v>231829.54081228841</v>
      </c>
    </row>
    <row r="79" spans="1:6" outlineLevel="1" x14ac:dyDescent="0.3">
      <c r="B79" t="s">
        <v>241</v>
      </c>
      <c r="E79" s="6">
        <f ca="1">E77+E74</f>
        <v>41.788464095393088</v>
      </c>
      <c r="F79" t="s">
        <v>9</v>
      </c>
    </row>
    <row r="80" spans="1:6" outlineLevel="1" x14ac:dyDescent="0.3"/>
    <row r="81" spans="1:5" x14ac:dyDescent="0.3">
      <c r="A81" s="7" t="s">
        <v>242</v>
      </c>
    </row>
    <row r="82" spans="1:5" outlineLevel="1" x14ac:dyDescent="0.3">
      <c r="B82" t="s">
        <v>243</v>
      </c>
    </row>
    <row r="83" spans="1:5" outlineLevel="1" x14ac:dyDescent="0.3"/>
    <row r="84" spans="1:5" outlineLevel="1" x14ac:dyDescent="0.3">
      <c r="A84" t="s">
        <v>0</v>
      </c>
    </row>
    <row r="85" spans="1:5" outlineLevel="1" x14ac:dyDescent="0.3">
      <c r="B85" t="s">
        <v>244</v>
      </c>
      <c r="E85" s="6">
        <f>E11</f>
        <v>389</v>
      </c>
    </row>
    <row r="86" spans="1:5" outlineLevel="1" x14ac:dyDescent="0.3"/>
    <row r="87" spans="1:5" outlineLevel="1" x14ac:dyDescent="0.3">
      <c r="A87" t="s">
        <v>1</v>
      </c>
    </row>
    <row r="88" spans="1:5" outlineLevel="1" x14ac:dyDescent="0.3">
      <c r="B88" t="s">
        <v>53</v>
      </c>
      <c r="E88" s="10">
        <f>5000000*E85^(-0.8805)</f>
        <v>26213.160121163619</v>
      </c>
    </row>
    <row r="89" spans="1:5" outlineLevel="1" x14ac:dyDescent="0.3"/>
    <row r="90" spans="1:5" outlineLevel="1" x14ac:dyDescent="0.3"/>
    <row r="91" spans="1:5" outlineLevel="1" x14ac:dyDescent="0.3"/>
    <row r="92" spans="1:5" outlineLevel="1" x14ac:dyDescent="0.3"/>
    <row r="93" spans="1:5" outlineLevel="1" x14ac:dyDescent="0.3"/>
    <row r="94" spans="1:5" outlineLevel="1" x14ac:dyDescent="0.3"/>
    <row r="95" spans="1:5" outlineLevel="1" x14ac:dyDescent="0.3"/>
    <row r="96" spans="1:5" outlineLevel="1" x14ac:dyDescent="0.3"/>
    <row r="97" spans="1:5" outlineLevel="1" x14ac:dyDescent="0.3"/>
    <row r="98" spans="1:5" outlineLevel="1" x14ac:dyDescent="0.3"/>
    <row r="99" spans="1:5" outlineLevel="1" x14ac:dyDescent="0.3"/>
    <row r="100" spans="1:5" outlineLevel="1" x14ac:dyDescent="0.3"/>
    <row r="101" spans="1:5" outlineLevel="1" x14ac:dyDescent="0.3"/>
    <row r="102" spans="1:5" x14ac:dyDescent="0.3">
      <c r="A102" s="7" t="s">
        <v>245</v>
      </c>
    </row>
    <row r="103" spans="1:5" outlineLevel="1" x14ac:dyDescent="0.3">
      <c r="B103" t="s">
        <v>246</v>
      </c>
    </row>
    <row r="104" spans="1:5" outlineLevel="1" x14ac:dyDescent="0.3"/>
    <row r="105" spans="1:5" outlineLevel="1" x14ac:dyDescent="0.3">
      <c r="A105" t="s">
        <v>0</v>
      </c>
    </row>
    <row r="106" spans="1:5" outlineLevel="1" x14ac:dyDescent="0.3">
      <c r="B106" t="s">
        <v>247</v>
      </c>
      <c r="E106" s="6">
        <f>E12</f>
        <v>100</v>
      </c>
    </row>
    <row r="107" spans="1:5" outlineLevel="1" x14ac:dyDescent="0.3"/>
    <row r="108" spans="1:5" outlineLevel="1" x14ac:dyDescent="0.3">
      <c r="A108" t="s">
        <v>1</v>
      </c>
    </row>
    <row r="109" spans="1:5" outlineLevel="1" x14ac:dyDescent="0.3">
      <c r="B109" t="s">
        <v>248</v>
      </c>
      <c r="E109" s="10">
        <f>89574*E106+271351</f>
        <v>9228751</v>
      </c>
    </row>
    <row r="110" spans="1:5" outlineLevel="1" x14ac:dyDescent="0.3"/>
    <row r="111" spans="1:5" outlineLevel="1" x14ac:dyDescent="0.3"/>
    <row r="112" spans="1:5" outlineLevel="1" x14ac:dyDescent="0.3"/>
    <row r="113" spans="1:2" outlineLevel="1" x14ac:dyDescent="0.3"/>
    <row r="114" spans="1:2" outlineLevel="1" x14ac:dyDescent="0.3"/>
    <row r="115" spans="1:2" outlineLevel="1" x14ac:dyDescent="0.3"/>
    <row r="116" spans="1:2" outlineLevel="1" x14ac:dyDescent="0.3"/>
    <row r="117" spans="1:2" outlineLevel="1" x14ac:dyDescent="0.3"/>
    <row r="118" spans="1:2" outlineLevel="1" x14ac:dyDescent="0.3"/>
    <row r="119" spans="1:2" outlineLevel="1" x14ac:dyDescent="0.3"/>
    <row r="120" spans="1:2" outlineLevel="1" x14ac:dyDescent="0.3"/>
    <row r="121" spans="1:2" x14ac:dyDescent="0.3">
      <c r="A121" s="7" t="s">
        <v>249</v>
      </c>
    </row>
    <row r="122" spans="1:2" outlineLevel="1" x14ac:dyDescent="0.3">
      <c r="B122" t="s">
        <v>250</v>
      </c>
    </row>
    <row r="123" spans="1:2" outlineLevel="1" x14ac:dyDescent="0.3">
      <c r="B123" t="s">
        <v>251</v>
      </c>
    </row>
    <row r="124" spans="1:2" outlineLevel="1" x14ac:dyDescent="0.3">
      <c r="B124" t="s">
        <v>281</v>
      </c>
    </row>
    <row r="125" spans="1:2" outlineLevel="1" x14ac:dyDescent="0.3">
      <c r="B125" t="s">
        <v>252</v>
      </c>
    </row>
    <row r="126" spans="1:2" outlineLevel="1" x14ac:dyDescent="0.3">
      <c r="B126" t="s">
        <v>253</v>
      </c>
    </row>
    <row r="127" spans="1:2" outlineLevel="1" x14ac:dyDescent="0.3"/>
    <row r="128" spans="1:2" outlineLevel="1" x14ac:dyDescent="0.3">
      <c r="A128" t="s">
        <v>0</v>
      </c>
    </row>
    <row r="129" spans="1:6" outlineLevel="1" x14ac:dyDescent="0.3">
      <c r="B129" t="s">
        <v>254</v>
      </c>
      <c r="E129" s="6">
        <f>E11</f>
        <v>389</v>
      </c>
    </row>
    <row r="130" spans="1:6" outlineLevel="1" x14ac:dyDescent="0.3">
      <c r="B130" t="s">
        <v>255</v>
      </c>
      <c r="E130" s="6">
        <f>IO!E29</f>
        <v>202</v>
      </c>
      <c r="F130" t="s">
        <v>17</v>
      </c>
    </row>
    <row r="131" spans="1:6" outlineLevel="1" x14ac:dyDescent="0.3">
      <c r="B131" t="s">
        <v>256</v>
      </c>
      <c r="E131" s="6">
        <f>E130*E129</f>
        <v>78578</v>
      </c>
      <c r="F131" t="s">
        <v>17</v>
      </c>
    </row>
    <row r="132" spans="1:6" outlineLevel="1" x14ac:dyDescent="0.3">
      <c r="B132" t="s">
        <v>276</v>
      </c>
      <c r="E132" s="6">
        <f ca="1">E71</f>
        <v>321.44972381071608</v>
      </c>
      <c r="F132" t="s">
        <v>9</v>
      </c>
    </row>
    <row r="133" spans="1:6" outlineLevel="1" x14ac:dyDescent="0.3">
      <c r="B133" t="s">
        <v>277</v>
      </c>
      <c r="E133" s="6">
        <v>500</v>
      </c>
      <c r="F133" t="s">
        <v>9</v>
      </c>
    </row>
    <row r="134" spans="1:6" outlineLevel="1" x14ac:dyDescent="0.3">
      <c r="B134" t="s">
        <v>278</v>
      </c>
      <c r="E134" s="4">
        <f ca="1">ROUNDUP(E132/E133,0)</f>
        <v>1</v>
      </c>
    </row>
    <row r="135" spans="1:6" outlineLevel="1" x14ac:dyDescent="0.3"/>
    <row r="136" spans="1:6" outlineLevel="1" x14ac:dyDescent="0.3">
      <c r="A136" t="s">
        <v>1</v>
      </c>
    </row>
    <row r="137" spans="1:6" outlineLevel="1" x14ac:dyDescent="0.3">
      <c r="B137" t="s">
        <v>257</v>
      </c>
      <c r="E137" s="10">
        <f>29750*E129</f>
        <v>11572750</v>
      </c>
    </row>
    <row r="138" spans="1:6" outlineLevel="1" x14ac:dyDescent="0.3">
      <c r="B138" t="s">
        <v>258</v>
      </c>
      <c r="E138" s="10">
        <f>284660*E131^(-0.865)*E131</f>
        <v>1303743.2594541132</v>
      </c>
    </row>
    <row r="139" spans="1:6" outlineLevel="1" x14ac:dyDescent="0.3">
      <c r="B139" t="s">
        <v>140</v>
      </c>
      <c r="E139" s="10">
        <f ca="1">78984*E129*E134+3000000</f>
        <v>33724776</v>
      </c>
    </row>
    <row r="140" spans="1:6" outlineLevel="1" x14ac:dyDescent="0.3">
      <c r="B140" t="s">
        <v>259</v>
      </c>
      <c r="E140" s="10">
        <f>57337*E129+2000000</f>
        <v>24304093</v>
      </c>
    </row>
    <row r="141" spans="1:6" outlineLevel="1" x14ac:dyDescent="0.3">
      <c r="B141" t="s">
        <v>260</v>
      </c>
      <c r="E141" s="10">
        <f>73453*E129+181750</f>
        <v>28754967</v>
      </c>
    </row>
    <row r="142" spans="1:6" outlineLevel="1" x14ac:dyDescent="0.3">
      <c r="B142" t="s">
        <v>261</v>
      </c>
      <c r="E142" s="9">
        <f ca="1">E137+E139+E141</f>
        <v>74052493</v>
      </c>
    </row>
    <row r="143" spans="1:6" outlineLevel="1" x14ac:dyDescent="0.3">
      <c r="B143" t="s">
        <v>262</v>
      </c>
      <c r="E143" s="9">
        <f>E138+E140</f>
        <v>25607836.259454112</v>
      </c>
    </row>
    <row r="144" spans="1:6" outlineLevel="1" x14ac:dyDescent="0.3"/>
    <row r="145" spans="1:5" x14ac:dyDescent="0.3">
      <c r="A145" s="7" t="s">
        <v>263</v>
      </c>
    </row>
    <row r="146" spans="1:5" outlineLevel="1" x14ac:dyDescent="0.3">
      <c r="B146" t="s">
        <v>264</v>
      </c>
    </row>
    <row r="147" spans="1:5" outlineLevel="1" x14ac:dyDescent="0.3"/>
    <row r="148" spans="1:5" outlineLevel="1" x14ac:dyDescent="0.3"/>
    <row r="149" spans="1:5" x14ac:dyDescent="0.3">
      <c r="A149" s="7" t="s">
        <v>265</v>
      </c>
    </row>
    <row r="150" spans="1:5" outlineLevel="1" x14ac:dyDescent="0.3">
      <c r="B150" t="s">
        <v>266</v>
      </c>
    </row>
    <row r="151" spans="1:5" outlineLevel="1" x14ac:dyDescent="0.3"/>
    <row r="152" spans="1:5" outlineLevel="1" x14ac:dyDescent="0.3">
      <c r="A152" t="s">
        <v>0</v>
      </c>
    </row>
    <row r="153" spans="1:5" outlineLevel="1" x14ac:dyDescent="0.3">
      <c r="B153" t="s">
        <v>254</v>
      </c>
      <c r="E153" s="6">
        <f>IO!E18</f>
        <v>389</v>
      </c>
    </row>
    <row r="154" spans="1:5" outlineLevel="1" x14ac:dyDescent="0.3"/>
    <row r="155" spans="1:5" outlineLevel="1" x14ac:dyDescent="0.3">
      <c r="A155" t="s">
        <v>1</v>
      </c>
    </row>
    <row r="156" spans="1:5" outlineLevel="1" x14ac:dyDescent="0.3">
      <c r="B156" t="s">
        <v>67</v>
      </c>
      <c r="E156" s="10">
        <f>682566*E153^0.2497</f>
        <v>3025903.4522702764</v>
      </c>
    </row>
    <row r="157" spans="1:5" outlineLevel="1" x14ac:dyDescent="0.3"/>
    <row r="158" spans="1:5" outlineLevel="1" x14ac:dyDescent="0.3"/>
    <row r="159" spans="1:5" outlineLevel="1" x14ac:dyDescent="0.3"/>
    <row r="160" spans="1:5" outlineLevel="1" x14ac:dyDescent="0.3"/>
    <row r="161" spans="1:7" outlineLevel="1" x14ac:dyDescent="0.3"/>
    <row r="162" spans="1:7" outlineLevel="1" x14ac:dyDescent="0.3"/>
    <row r="163" spans="1:7" outlineLevel="1" x14ac:dyDescent="0.3"/>
    <row r="164" spans="1:7" outlineLevel="1" x14ac:dyDescent="0.3"/>
    <row r="165" spans="1:7" outlineLevel="1" x14ac:dyDescent="0.3"/>
    <row r="166" spans="1:7" x14ac:dyDescent="0.3">
      <c r="A166" s="7" t="s">
        <v>267</v>
      </c>
    </row>
    <row r="167" spans="1:7" outlineLevel="1" x14ac:dyDescent="0.3">
      <c r="B167" t="s">
        <v>268</v>
      </c>
    </row>
    <row r="168" spans="1:7" outlineLevel="1" x14ac:dyDescent="0.3"/>
    <row r="169" spans="1:7" x14ac:dyDescent="0.3">
      <c r="A169" t="s">
        <v>282</v>
      </c>
      <c r="D169" t="s">
        <v>283</v>
      </c>
      <c r="E169" t="s">
        <v>49</v>
      </c>
      <c r="F169" t="s">
        <v>284</v>
      </c>
      <c r="G169" t="s">
        <v>285</v>
      </c>
    </row>
    <row r="170" spans="1:7" x14ac:dyDescent="0.3">
      <c r="B170" t="s">
        <v>286</v>
      </c>
      <c r="D170" s="185">
        <v>0.05</v>
      </c>
      <c r="E170" s="10">
        <f>IO!G45</f>
        <v>3668.7409372694287</v>
      </c>
      <c r="F170" s="10">
        <f>E170*D170</f>
        <v>183.43704686347144</v>
      </c>
      <c r="G170" s="9">
        <f>F170*IO!$E$29</f>
        <v>37054.283466421228</v>
      </c>
    </row>
    <row r="171" spans="1:7" x14ac:dyDescent="0.3">
      <c r="B171" t="s">
        <v>287</v>
      </c>
      <c r="D171" s="185">
        <v>0.02</v>
      </c>
      <c r="E171" s="10">
        <f ca="1">IO!G44</f>
        <v>767.79588470377576</v>
      </c>
      <c r="F171" s="10">
        <f ca="1">E171*D171</f>
        <v>15.355917694075515</v>
      </c>
      <c r="G171" s="9">
        <f ca="1">F171*IO!$E$29</f>
        <v>3101.8953742032541</v>
      </c>
    </row>
    <row r="172" spans="1:7" x14ac:dyDescent="0.3">
      <c r="B172" t="s">
        <v>288</v>
      </c>
      <c r="D172" s="185">
        <v>0.02</v>
      </c>
      <c r="E172" s="10">
        <f ca="1">IO!G46</f>
        <v>1147.6709941202396</v>
      </c>
      <c r="F172" s="10">
        <f t="shared" ref="F172:F173" ca="1" si="1">E172*D172</f>
        <v>22.953419882404791</v>
      </c>
      <c r="G172" s="9">
        <f ca="1">F172*IO!$E$29</f>
        <v>4636.5908162457681</v>
      </c>
    </row>
    <row r="173" spans="1:7" x14ac:dyDescent="0.3">
      <c r="B173" t="s">
        <v>289</v>
      </c>
      <c r="D173" s="185">
        <v>0.02</v>
      </c>
      <c r="E173" s="10">
        <f>IO!G53</f>
        <v>325.89065971969399</v>
      </c>
      <c r="F173" s="10">
        <f t="shared" si="1"/>
        <v>6.51781319439388</v>
      </c>
      <c r="G173" s="9">
        <f>F173*IO!$E$29</f>
        <v>1316.5982652675636</v>
      </c>
    </row>
    <row r="174" spans="1:7" x14ac:dyDescent="0.3">
      <c r="G174" s="9"/>
    </row>
    <row r="175" spans="1:7" x14ac:dyDescent="0.3">
      <c r="B175" t="s">
        <v>290</v>
      </c>
      <c r="E175" s="9">
        <f ca="1">SUM(E170:E173)</f>
        <v>5910.0984758131381</v>
      </c>
      <c r="F175" s="9">
        <f t="shared" ref="F175:G175" ca="1" si="2">SUM(F170:F173)</f>
        <v>228.26419763434563</v>
      </c>
      <c r="G175" s="9">
        <f t="shared" ca="1" si="2"/>
        <v>46109.367922137819</v>
      </c>
    </row>
    <row r="177" spans="1:7" x14ac:dyDescent="0.3">
      <c r="A177" t="s">
        <v>291</v>
      </c>
      <c r="F177" t="s">
        <v>284</v>
      </c>
      <c r="G177" t="s">
        <v>285</v>
      </c>
    </row>
    <row r="178" spans="1:7" x14ac:dyDescent="0.3">
      <c r="B178" t="s">
        <v>292</v>
      </c>
      <c r="F178" s="9">
        <f>G178/$D$41</f>
        <v>315.10891089108912</v>
      </c>
      <c r="G178" s="186">
        <v>63652</v>
      </c>
    </row>
    <row r="179" spans="1:7" x14ac:dyDescent="0.3">
      <c r="F179" s="187"/>
    </row>
    <row r="180" spans="1:7" x14ac:dyDescent="0.3">
      <c r="A180" t="s">
        <v>293</v>
      </c>
      <c r="F180" s="187">
        <f ca="1">F175+F178</f>
        <v>543.37310852543476</v>
      </c>
      <c r="G180" s="9">
        <f ca="1">G178+G175</f>
        <v>109761.36792213781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D8DEC-B45A-4A62-B83F-8C1470360D76}">
  <sheetPr codeName="Sheet11"/>
  <dimension ref="A1:AC273"/>
  <sheetViews>
    <sheetView zoomScale="90" zoomScaleNormal="70" workbookViewId="0">
      <selection activeCell="J22" sqref="J22"/>
    </sheetView>
  </sheetViews>
  <sheetFormatPr defaultColWidth="9.109375" defaultRowHeight="13.2" outlineLevelRow="1" x14ac:dyDescent="0.25"/>
  <cols>
    <col min="1" max="1" width="3" style="43" customWidth="1"/>
    <col min="2" max="2" width="13.44140625" style="43" customWidth="1"/>
    <col min="3" max="3" width="11" style="43" customWidth="1"/>
    <col min="4" max="18" width="8.6640625" style="43" customWidth="1"/>
    <col min="19" max="19" width="13" style="43" customWidth="1"/>
    <col min="20" max="20" width="10.44140625" style="43" customWidth="1"/>
    <col min="21" max="21" width="9" style="43" customWidth="1"/>
    <col min="22" max="22" width="3.6640625" style="43" customWidth="1"/>
    <col min="23" max="16384" width="9.109375" style="43"/>
  </cols>
  <sheetData>
    <row r="1" spans="1:29" s="42" customFormat="1" ht="15.6" x14ac:dyDescent="0.3">
      <c r="A1" s="41" t="s">
        <v>86</v>
      </c>
      <c r="O1" s="41" t="s">
        <v>87</v>
      </c>
    </row>
    <row r="2" spans="1:29" ht="12.75" customHeight="1" x14ac:dyDescent="0.25">
      <c r="Z2" s="44"/>
    </row>
    <row r="3" spans="1:29" ht="12.75" customHeight="1" x14ac:dyDescent="0.25">
      <c r="A3" s="45" t="s">
        <v>88</v>
      </c>
      <c r="O3" s="46" t="s">
        <v>89</v>
      </c>
      <c r="P3" s="47"/>
      <c r="Q3" s="47"/>
      <c r="R3" s="47"/>
      <c r="S3" s="47"/>
      <c r="T3" s="47"/>
      <c r="Z3" s="44"/>
    </row>
    <row r="4" spans="1:29" ht="12.75" customHeight="1" x14ac:dyDescent="0.25">
      <c r="B4" s="48" t="s">
        <v>90</v>
      </c>
      <c r="C4" s="48"/>
      <c r="D4" s="48"/>
      <c r="E4" s="48"/>
      <c r="G4" s="111">
        <f>IO!E16</f>
        <v>1</v>
      </c>
      <c r="O4" s="47"/>
      <c r="P4" s="47" t="s">
        <v>91</v>
      </c>
      <c r="Q4" s="47"/>
      <c r="R4" s="47"/>
      <c r="S4" s="47">
        <f ca="1">'Performance Matrices'!D5</f>
        <v>11</v>
      </c>
      <c r="T4" s="47" t="s">
        <v>4</v>
      </c>
      <c r="Z4" s="44"/>
    </row>
    <row r="5" spans="1:29" ht="12.75" customHeight="1" x14ac:dyDescent="0.25">
      <c r="B5" s="49" t="s">
        <v>92</v>
      </c>
      <c r="C5" s="49"/>
      <c r="D5" s="49"/>
      <c r="E5" s="49"/>
      <c r="G5" s="111">
        <f>IO!E5</f>
        <v>11</v>
      </c>
      <c r="O5" s="47"/>
      <c r="P5" s="47" t="s">
        <v>93</v>
      </c>
      <c r="Q5" s="47"/>
      <c r="R5" s="47"/>
      <c r="S5" s="47">
        <f ca="1">'Performance Matrices'!D6</f>
        <v>3.3</v>
      </c>
      <c r="T5" s="47" t="s">
        <v>4</v>
      </c>
      <c r="Z5" s="44"/>
    </row>
    <row r="6" spans="1:29" ht="12.75" customHeight="1" x14ac:dyDescent="0.25">
      <c r="B6" s="48" t="s">
        <v>148</v>
      </c>
      <c r="C6" s="48"/>
      <c r="D6" s="48"/>
      <c r="E6" s="48"/>
      <c r="G6" s="130">
        <f>IO!E27</f>
        <v>1</v>
      </c>
      <c r="O6" s="47"/>
      <c r="P6" s="47" t="s">
        <v>94</v>
      </c>
      <c r="Q6" s="47"/>
      <c r="R6" s="47"/>
      <c r="S6" s="114">
        <f ca="1">'Performance Matrices'!D7</f>
        <v>313.60948664460108</v>
      </c>
      <c r="T6" s="47" t="s">
        <v>5</v>
      </c>
      <c r="Z6" s="44"/>
    </row>
    <row r="7" spans="1:29" ht="12.75" customHeight="1" x14ac:dyDescent="0.25">
      <c r="B7" s="48" t="s">
        <v>275</v>
      </c>
      <c r="C7" s="48"/>
      <c r="D7" s="48"/>
      <c r="E7" s="48"/>
      <c r="G7" s="112">
        <f>IO!E9*IO!E28</f>
        <v>0.45499999999999996</v>
      </c>
      <c r="O7" s="47"/>
      <c r="P7" s="47" t="s">
        <v>12</v>
      </c>
      <c r="Q7" s="47"/>
      <c r="R7" s="47"/>
      <c r="S7" s="47">
        <f ca="1">'Performance Matrices'!D8</f>
        <v>0</v>
      </c>
      <c r="T7" s="47" t="s">
        <v>9</v>
      </c>
      <c r="Z7" s="44"/>
    </row>
    <row r="8" spans="1:29" ht="12.75" customHeight="1" x14ac:dyDescent="0.25">
      <c r="O8" s="47"/>
      <c r="P8" s="47" t="s">
        <v>95</v>
      </c>
      <c r="Q8" s="47"/>
      <c r="R8" s="47"/>
      <c r="S8" s="47">
        <f ca="1">'Performance Matrices'!D9</f>
        <v>0.1</v>
      </c>
      <c r="T8" s="47"/>
      <c r="Z8" s="44"/>
    </row>
    <row r="9" spans="1:29" ht="12.75" customHeight="1" x14ac:dyDescent="0.25">
      <c r="O9" s="47"/>
      <c r="P9" s="47" t="s">
        <v>96</v>
      </c>
      <c r="Q9" s="47"/>
      <c r="R9" s="47"/>
      <c r="S9" s="47">
        <f ca="1">'Performance Matrices'!D10</f>
        <v>0.1</v>
      </c>
      <c r="T9" s="47"/>
      <c r="Z9" s="44"/>
    </row>
    <row r="10" spans="1:29" ht="12.75" customHeight="1" x14ac:dyDescent="0.25">
      <c r="Z10" s="44"/>
    </row>
    <row r="11" spans="1:29" ht="13.8" x14ac:dyDescent="0.25">
      <c r="A11" s="45" t="s">
        <v>97</v>
      </c>
      <c r="B11" s="50"/>
      <c r="F11" s="51"/>
      <c r="G11" s="51"/>
      <c r="H11" s="51"/>
      <c r="I11" s="51"/>
      <c r="O11" s="45" t="s">
        <v>98</v>
      </c>
      <c r="V11" s="45"/>
      <c r="W11" s="45"/>
      <c r="Z11" s="52"/>
    </row>
    <row r="12" spans="1:29" ht="13.8" outlineLevel="1" x14ac:dyDescent="0.25">
      <c r="A12" s="53"/>
      <c r="B12" s="48" t="s">
        <v>99</v>
      </c>
      <c r="C12" s="48"/>
      <c r="D12" s="48"/>
      <c r="E12" s="48"/>
      <c r="F12" s="54"/>
      <c r="G12" s="112">
        <f>IO!E30</f>
        <v>0.8</v>
      </c>
      <c r="P12" s="48" t="s">
        <v>100</v>
      </c>
      <c r="Q12" s="48"/>
      <c r="R12" s="48"/>
      <c r="S12" s="55">
        <f>SUMPRODUCT(D30:D49,U30:U49)/SUM(U30:U49)</f>
        <v>2.3812265880290111</v>
      </c>
      <c r="T12" s="47" t="s">
        <v>4</v>
      </c>
      <c r="U12" s="56"/>
      <c r="V12" s="57"/>
      <c r="W12" s="57"/>
      <c r="X12" s="57"/>
      <c r="Y12" s="57"/>
      <c r="Z12" s="57"/>
      <c r="AA12" s="57"/>
      <c r="AB12" s="57"/>
      <c r="AC12" s="57"/>
    </row>
    <row r="13" spans="1:29" ht="13.8" outlineLevel="1" x14ac:dyDescent="0.25">
      <c r="A13" s="53"/>
      <c r="B13" s="48" t="s">
        <v>16</v>
      </c>
      <c r="C13" s="48"/>
      <c r="D13" s="48"/>
      <c r="E13" s="48"/>
      <c r="G13" s="113">
        <f>IO!E29</f>
        <v>202</v>
      </c>
      <c r="H13" s="43" t="s">
        <v>17</v>
      </c>
      <c r="P13" s="48" t="s">
        <v>101</v>
      </c>
      <c r="Q13" s="48"/>
      <c r="R13" s="48"/>
      <c r="S13" s="55">
        <f>SUMPRODUCT(E29:T29,E50:T50)/SUM(E50:T50)</f>
        <v>9.2517334821072765</v>
      </c>
      <c r="T13" s="47" t="s">
        <v>102</v>
      </c>
      <c r="U13" s="56"/>
      <c r="V13" s="57"/>
      <c r="W13" s="57"/>
      <c r="X13" s="58"/>
      <c r="Y13" s="57"/>
      <c r="Z13" s="57"/>
      <c r="AA13" s="57"/>
      <c r="AB13" s="57"/>
      <c r="AC13" s="57"/>
    </row>
    <row r="14" spans="1:29" ht="13.8" outlineLevel="1" x14ac:dyDescent="0.25">
      <c r="A14" s="53"/>
      <c r="B14" s="43" t="s">
        <v>158</v>
      </c>
      <c r="G14" s="73">
        <f>G13*(1/G12)</f>
        <v>252.5</v>
      </c>
      <c r="H14" s="43" t="s">
        <v>17</v>
      </c>
      <c r="P14" s="48" t="s">
        <v>103</v>
      </c>
      <c r="Q14" s="48"/>
      <c r="R14" s="48"/>
      <c r="S14" s="59">
        <f>SUMPRODUCT(E30:T49,E55:T74)/SUM(U30:U49)</f>
        <v>33.50109316470072</v>
      </c>
      <c r="T14" s="47" t="s">
        <v>104</v>
      </c>
      <c r="U14" s="56"/>
      <c r="V14" s="57"/>
      <c r="W14" s="57"/>
      <c r="X14" s="58"/>
      <c r="Y14" s="57"/>
      <c r="Z14" s="57"/>
      <c r="AA14" s="57"/>
      <c r="AB14" s="57"/>
      <c r="AC14" s="57"/>
    </row>
    <row r="15" spans="1:29" outlineLevel="1" x14ac:dyDescent="0.25">
      <c r="A15" s="45" t="s">
        <v>105</v>
      </c>
      <c r="B15" s="49"/>
      <c r="C15" s="49"/>
      <c r="D15" s="49"/>
      <c r="E15" s="49"/>
      <c r="F15" s="51"/>
      <c r="S15" s="60"/>
      <c r="U15" s="56"/>
      <c r="V15" s="57"/>
      <c r="W15" s="57"/>
      <c r="X15" s="58"/>
      <c r="Y15" s="57"/>
      <c r="Z15" s="57"/>
      <c r="AA15" s="57"/>
      <c r="AB15" s="57"/>
      <c r="AC15" s="57"/>
    </row>
    <row r="16" spans="1:29" outlineLevel="1" x14ac:dyDescent="0.25">
      <c r="B16" s="48" t="s">
        <v>106</v>
      </c>
      <c r="C16" s="48"/>
      <c r="D16" s="48"/>
      <c r="E16" s="48"/>
      <c r="F16" s="54"/>
      <c r="G16" s="112">
        <f>IO!E31</f>
        <v>0.95</v>
      </c>
      <c r="Z16" s="52"/>
    </row>
    <row r="17" spans="1:27" outlineLevel="1" x14ac:dyDescent="0.25">
      <c r="B17" s="48" t="s">
        <v>107</v>
      </c>
      <c r="C17" s="48"/>
      <c r="D17" s="48"/>
      <c r="E17" s="48"/>
      <c r="F17" s="54"/>
      <c r="G17" s="112">
        <f>IO!E32</f>
        <v>0.98</v>
      </c>
      <c r="Z17" s="52"/>
    </row>
    <row r="18" spans="1:27" outlineLevel="1" x14ac:dyDescent="0.25">
      <c r="O18" s="45" t="s">
        <v>160</v>
      </c>
      <c r="S18" s="57"/>
      <c r="T18" s="61"/>
      <c r="V18" s="45" t="s">
        <v>161</v>
      </c>
      <c r="Z18" s="57"/>
      <c r="AA18" s="61"/>
    </row>
    <row r="19" spans="1:27" outlineLevel="1" x14ac:dyDescent="0.25">
      <c r="H19" s="62"/>
      <c r="P19" s="63" t="s">
        <v>108</v>
      </c>
      <c r="Q19" s="48"/>
      <c r="R19" s="48"/>
      <c r="S19" s="59">
        <f ca="1">SUMPRODUCT(E30:T49,E79:T98)/SUM(U30:U49)</f>
        <v>65.957446290793825</v>
      </c>
      <c r="T19" s="64" t="s">
        <v>17</v>
      </c>
      <c r="W19" s="63" t="s">
        <v>108</v>
      </c>
      <c r="X19" s="48"/>
      <c r="Y19" s="48"/>
      <c r="Z19" s="59">
        <f ca="1">SUMPRODUCT(E30:T49,E230:T249)/SUM(U30:U49)</f>
        <v>152.68082079024549</v>
      </c>
      <c r="AA19" s="64" t="s">
        <v>17</v>
      </c>
    </row>
    <row r="20" spans="1:27" outlineLevel="1" x14ac:dyDescent="0.25">
      <c r="P20" s="63" t="s">
        <v>109</v>
      </c>
      <c r="Q20" s="48"/>
      <c r="R20" s="65"/>
      <c r="S20" s="66">
        <f ca="1">SUMPRODUCT(E30:T49,E127:T146)/SUM(U30:U49)</f>
        <v>51.869982967328546</v>
      </c>
      <c r="T20" s="67" t="s">
        <v>17</v>
      </c>
      <c r="U20" s="56"/>
      <c r="W20" s="63" t="s">
        <v>109</v>
      </c>
      <c r="X20" s="48"/>
      <c r="Y20" s="65"/>
      <c r="Z20" s="66">
        <f ca="1">SUMPRODUCT(E30:T49,E254:T273)/SUM(U30:U49)</f>
        <v>122.14465663219639</v>
      </c>
      <c r="AA20" s="67" t="s">
        <v>17</v>
      </c>
    </row>
    <row r="21" spans="1:27" outlineLevel="1" x14ac:dyDescent="0.25">
      <c r="G21" s="68"/>
      <c r="P21" s="63" t="s">
        <v>110</v>
      </c>
      <c r="Q21" s="48"/>
      <c r="R21" s="65"/>
      <c r="S21" s="69">
        <f>G13</f>
        <v>202</v>
      </c>
      <c r="T21" s="67" t="s">
        <v>17</v>
      </c>
      <c r="U21" s="56"/>
      <c r="W21" s="63" t="s">
        <v>110</v>
      </c>
      <c r="X21" s="48"/>
      <c r="Y21" s="65"/>
      <c r="Z21" s="69">
        <f>G13</f>
        <v>202</v>
      </c>
      <c r="AA21" s="67" t="s">
        <v>17</v>
      </c>
    </row>
    <row r="22" spans="1:27" outlineLevel="1" x14ac:dyDescent="0.25">
      <c r="G22" s="68"/>
      <c r="P22" s="63" t="s">
        <v>111</v>
      </c>
      <c r="Q22" s="48"/>
      <c r="R22" s="65"/>
      <c r="S22" s="70">
        <f ca="1">S20/S21</f>
        <v>0.2567820938976661</v>
      </c>
      <c r="T22" s="67"/>
      <c r="U22" s="56"/>
      <c r="W22" s="63" t="s">
        <v>111</v>
      </c>
      <c r="X22" s="48"/>
      <c r="Y22" s="65"/>
      <c r="Z22" s="70">
        <f ca="1">Z20/Z21</f>
        <v>0.60467651798117028</v>
      </c>
      <c r="AA22" s="67"/>
    </row>
    <row r="23" spans="1:27" outlineLevel="1" x14ac:dyDescent="0.25">
      <c r="P23" s="63" t="s">
        <v>112</v>
      </c>
      <c r="Q23" s="48"/>
      <c r="R23" s="65"/>
      <c r="S23" s="71">
        <f ca="1">S20*G16*G17*24*365/1000</f>
        <v>423.02875828902597</v>
      </c>
      <c r="T23" s="72" t="s">
        <v>113</v>
      </c>
      <c r="U23" s="57"/>
      <c r="W23" s="63" t="s">
        <v>112</v>
      </c>
      <c r="X23" s="48"/>
      <c r="Y23" s="65"/>
      <c r="Z23" s="71">
        <f ca="1">Z20*G16*G17*24*365/1000</f>
        <v>996.15807584327547</v>
      </c>
      <c r="AA23" s="72" t="s">
        <v>113</v>
      </c>
    </row>
    <row r="24" spans="1:27" outlineLevel="1" x14ac:dyDescent="0.25">
      <c r="P24" s="63" t="s">
        <v>114</v>
      </c>
      <c r="Q24" s="48"/>
      <c r="R24" s="65"/>
      <c r="S24" s="71">
        <f ca="1">S20/1.3</f>
        <v>39.899986897945034</v>
      </c>
      <c r="T24" s="72"/>
      <c r="W24" s="63" t="s">
        <v>114</v>
      </c>
      <c r="X24" s="48"/>
      <c r="Y24" s="65"/>
      <c r="Z24" s="71">
        <f ca="1">Z20/1.3</f>
        <v>93.957428178612602</v>
      </c>
      <c r="AA24" s="72"/>
    </row>
    <row r="25" spans="1:27" outlineLevel="1" x14ac:dyDescent="0.25"/>
    <row r="26" spans="1:27" outlineLevel="1" x14ac:dyDescent="0.25">
      <c r="F26" s="51"/>
      <c r="G26" s="51"/>
      <c r="H26" s="51"/>
      <c r="I26" s="51"/>
      <c r="P26" s="43" t="s">
        <v>115</v>
      </c>
      <c r="S26" s="60">
        <f ca="1">S19/S6</f>
        <v>0.21031712719054416</v>
      </c>
      <c r="T26" s="43" t="s">
        <v>132</v>
      </c>
      <c r="W26" s="43" t="s">
        <v>115</v>
      </c>
      <c r="Z26" s="60">
        <f ca="1">Z19/S6</f>
        <v>0.48685013461748849</v>
      </c>
      <c r="AA26" s="43" t="s">
        <v>132</v>
      </c>
    </row>
    <row r="27" spans="1:27" ht="13.8" x14ac:dyDescent="0.25">
      <c r="A27" s="45" t="s">
        <v>116</v>
      </c>
      <c r="B27" s="50"/>
      <c r="F27" s="51"/>
      <c r="G27" s="51"/>
      <c r="H27" s="51"/>
      <c r="I27" s="51"/>
      <c r="S27" s="74"/>
      <c r="T27" s="74"/>
      <c r="Z27" s="52"/>
      <c r="AA27" s="73"/>
    </row>
    <row r="28" spans="1:27" ht="13.8" x14ac:dyDescent="0.25">
      <c r="A28" s="45"/>
      <c r="B28" s="50"/>
      <c r="E28" s="43" t="s">
        <v>117</v>
      </c>
      <c r="F28" s="51"/>
      <c r="G28" s="51"/>
      <c r="H28" s="51"/>
      <c r="I28" s="51"/>
      <c r="S28" s="74"/>
      <c r="T28" s="74"/>
      <c r="Z28" s="52"/>
      <c r="AA28" s="73"/>
    </row>
    <row r="29" spans="1:27" outlineLevel="1" x14ac:dyDescent="0.25">
      <c r="D29" s="75"/>
      <c r="E29" s="76">
        <v>4.5</v>
      </c>
      <c r="F29" s="76">
        <v>5.5</v>
      </c>
      <c r="G29" s="76">
        <v>6.5</v>
      </c>
      <c r="H29" s="76">
        <v>7.5</v>
      </c>
      <c r="I29" s="76">
        <v>8.5</v>
      </c>
      <c r="J29" s="76">
        <v>9.5</v>
      </c>
      <c r="K29" s="76">
        <v>10.5</v>
      </c>
      <c r="L29" s="76">
        <v>11.5</v>
      </c>
      <c r="M29" s="76">
        <v>12.5</v>
      </c>
      <c r="N29" s="76">
        <v>13.5</v>
      </c>
      <c r="O29" s="76">
        <v>14.5</v>
      </c>
      <c r="P29" s="76">
        <v>15.5</v>
      </c>
      <c r="Q29" s="76">
        <v>16.5</v>
      </c>
      <c r="R29" s="76">
        <v>17.5</v>
      </c>
      <c r="S29" s="76">
        <v>18.5</v>
      </c>
      <c r="T29" s="76">
        <v>19.5</v>
      </c>
      <c r="Z29" s="52"/>
      <c r="AA29" s="73"/>
    </row>
    <row r="30" spans="1:27" outlineLevel="1" x14ac:dyDescent="0.25">
      <c r="C30" s="43" t="s">
        <v>118</v>
      </c>
      <c r="D30" s="77">
        <v>0.25</v>
      </c>
      <c r="E30" s="78">
        <f>'Scatter Diagrams'!D9</f>
        <v>0</v>
      </c>
      <c r="F30" s="78">
        <f>'Scatter Diagrams'!E9</f>
        <v>0</v>
      </c>
      <c r="G30" s="78">
        <f>'Scatter Diagrams'!F9</f>
        <v>0</v>
      </c>
      <c r="H30" s="78">
        <f>'Scatter Diagrams'!G9</f>
        <v>0</v>
      </c>
      <c r="I30" s="78">
        <f>'Scatter Diagrams'!H9</f>
        <v>0</v>
      </c>
      <c r="J30" s="78">
        <f>'Scatter Diagrams'!I9</f>
        <v>0</v>
      </c>
      <c r="K30" s="78">
        <f>'Scatter Diagrams'!J9</f>
        <v>0</v>
      </c>
      <c r="L30" s="78">
        <f>'Scatter Diagrams'!K9</f>
        <v>0</v>
      </c>
      <c r="M30" s="78">
        <f>'Scatter Diagrams'!L9</f>
        <v>0</v>
      </c>
      <c r="N30" s="78">
        <f>'Scatter Diagrams'!M9</f>
        <v>0</v>
      </c>
      <c r="O30" s="78">
        <f>'Scatter Diagrams'!N9</f>
        <v>0</v>
      </c>
      <c r="P30" s="78">
        <f>'Scatter Diagrams'!O9</f>
        <v>0</v>
      </c>
      <c r="Q30" s="78">
        <f>'Scatter Diagrams'!P9</f>
        <v>0</v>
      </c>
      <c r="R30" s="78">
        <f>'Scatter Diagrams'!Q9</f>
        <v>0</v>
      </c>
      <c r="S30" s="78">
        <f>'Scatter Diagrams'!R9</f>
        <v>0</v>
      </c>
      <c r="T30" s="78">
        <f>'Scatter Diagrams'!S9</f>
        <v>0</v>
      </c>
      <c r="U30" s="73">
        <f>SUM(E30:T30)</f>
        <v>0</v>
      </c>
      <c r="W30" s="79"/>
      <c r="Z30" s="52"/>
    </row>
    <row r="31" spans="1:27" outlineLevel="1" x14ac:dyDescent="0.25">
      <c r="D31" s="77">
        <v>0.75</v>
      </c>
      <c r="E31" s="78">
        <f>'Scatter Diagrams'!D10</f>
        <v>0</v>
      </c>
      <c r="F31" s="78">
        <f>'Scatter Diagrams'!E10</f>
        <v>4</v>
      </c>
      <c r="G31" s="78">
        <f>'Scatter Diagrams'!F10</f>
        <v>70</v>
      </c>
      <c r="H31" s="78">
        <f>'Scatter Diagrams'!G10</f>
        <v>101</v>
      </c>
      <c r="I31" s="78">
        <f>'Scatter Diagrams'!H10</f>
        <v>64</v>
      </c>
      <c r="J31" s="78">
        <f>'Scatter Diagrams'!I10</f>
        <v>67</v>
      </c>
      <c r="K31" s="78">
        <f>'Scatter Diagrams'!J10</f>
        <v>30</v>
      </c>
      <c r="L31" s="78">
        <f>'Scatter Diagrams'!K10</f>
        <v>4</v>
      </c>
      <c r="M31" s="78">
        <f>'Scatter Diagrams'!L10</f>
        <v>0</v>
      </c>
      <c r="N31" s="78">
        <f>'Scatter Diagrams'!M10</f>
        <v>1</v>
      </c>
      <c r="O31" s="78">
        <f>'Scatter Diagrams'!N10</f>
        <v>0</v>
      </c>
      <c r="P31" s="78">
        <f>'Scatter Diagrams'!O10</f>
        <v>1</v>
      </c>
      <c r="Q31" s="78">
        <f>'Scatter Diagrams'!P10</f>
        <v>0</v>
      </c>
      <c r="R31" s="78">
        <f>'Scatter Diagrams'!Q10</f>
        <v>0</v>
      </c>
      <c r="S31" s="78">
        <f>'Scatter Diagrams'!R10</f>
        <v>0</v>
      </c>
      <c r="T31" s="78">
        <f>'Scatter Diagrams'!S10</f>
        <v>0</v>
      </c>
      <c r="U31" s="73">
        <f t="shared" ref="U31:U49" si="0">SUM(E31:T31)</f>
        <v>342</v>
      </c>
      <c r="W31" s="79"/>
      <c r="Z31" s="52"/>
    </row>
    <row r="32" spans="1:27" outlineLevel="1" x14ac:dyDescent="0.25">
      <c r="D32" s="77">
        <v>1.25</v>
      </c>
      <c r="E32" s="78">
        <f>'Scatter Diagrams'!D11</f>
        <v>2</v>
      </c>
      <c r="F32" s="78">
        <f>'Scatter Diagrams'!E11</f>
        <v>122</v>
      </c>
      <c r="G32" s="78">
        <f>'Scatter Diagrams'!F11</f>
        <v>342</v>
      </c>
      <c r="H32" s="78">
        <f>'Scatter Diagrams'!G11</f>
        <v>461</v>
      </c>
      <c r="I32" s="78">
        <f>'Scatter Diagrams'!H11</f>
        <v>510</v>
      </c>
      <c r="J32" s="78">
        <f>'Scatter Diagrams'!I11</f>
        <v>360</v>
      </c>
      <c r="K32" s="78">
        <f>'Scatter Diagrams'!J11</f>
        <v>182</v>
      </c>
      <c r="L32" s="78">
        <f>'Scatter Diagrams'!K11</f>
        <v>54</v>
      </c>
      <c r="M32" s="78">
        <f>'Scatter Diagrams'!L11</f>
        <v>14</v>
      </c>
      <c r="N32" s="78">
        <f>'Scatter Diagrams'!M11</f>
        <v>0</v>
      </c>
      <c r="O32" s="78">
        <f>'Scatter Diagrams'!N11</f>
        <v>0</v>
      </c>
      <c r="P32" s="78">
        <f>'Scatter Diagrams'!O11</f>
        <v>0</v>
      </c>
      <c r="Q32" s="78">
        <f>'Scatter Diagrams'!P11</f>
        <v>1</v>
      </c>
      <c r="R32" s="78">
        <f>'Scatter Diagrams'!Q11</f>
        <v>1</v>
      </c>
      <c r="S32" s="78">
        <f>'Scatter Diagrams'!R11</f>
        <v>0</v>
      </c>
      <c r="T32" s="78">
        <f>'Scatter Diagrams'!S11</f>
        <v>0</v>
      </c>
      <c r="U32" s="73">
        <f t="shared" si="0"/>
        <v>2049</v>
      </c>
      <c r="W32" s="79"/>
      <c r="Z32" s="52"/>
    </row>
    <row r="33" spans="4:26" outlineLevel="1" x14ac:dyDescent="0.25">
      <c r="D33" s="77">
        <v>1.75</v>
      </c>
      <c r="E33" s="78">
        <f>'Scatter Diagrams'!D12</f>
        <v>0</v>
      </c>
      <c r="F33" s="78">
        <f>'Scatter Diagrams'!E12</f>
        <v>122</v>
      </c>
      <c r="G33" s="78">
        <f>'Scatter Diagrams'!F12</f>
        <v>553</v>
      </c>
      <c r="H33" s="78">
        <f>'Scatter Diagrams'!G12</f>
        <v>534</v>
      </c>
      <c r="I33" s="78">
        <f>'Scatter Diagrams'!H12</f>
        <v>513</v>
      </c>
      <c r="J33" s="78">
        <f>'Scatter Diagrams'!I12</f>
        <v>430</v>
      </c>
      <c r="K33" s="78">
        <f>'Scatter Diagrams'!J12</f>
        <v>252</v>
      </c>
      <c r="L33" s="78">
        <f>'Scatter Diagrams'!K12</f>
        <v>141</v>
      </c>
      <c r="M33" s="78">
        <f>'Scatter Diagrams'!L12</f>
        <v>80</v>
      </c>
      <c r="N33" s="78">
        <f>'Scatter Diagrams'!M12</f>
        <v>7</v>
      </c>
      <c r="O33" s="78">
        <f>'Scatter Diagrams'!N12</f>
        <v>0</v>
      </c>
      <c r="P33" s="78">
        <f>'Scatter Diagrams'!O12</f>
        <v>0</v>
      </c>
      <c r="Q33" s="78">
        <f>'Scatter Diagrams'!P12</f>
        <v>0</v>
      </c>
      <c r="R33" s="78">
        <f>'Scatter Diagrams'!Q12</f>
        <v>1</v>
      </c>
      <c r="S33" s="78">
        <f>'Scatter Diagrams'!R12</f>
        <v>0</v>
      </c>
      <c r="T33" s="78">
        <f>'Scatter Diagrams'!S12</f>
        <v>0</v>
      </c>
      <c r="U33" s="73">
        <f t="shared" si="0"/>
        <v>2633</v>
      </c>
      <c r="W33" s="79"/>
      <c r="Z33" s="52"/>
    </row>
    <row r="34" spans="4:26" outlineLevel="1" x14ac:dyDescent="0.25">
      <c r="D34" s="77">
        <v>2.25</v>
      </c>
      <c r="E34" s="78">
        <f>'Scatter Diagrams'!D13</f>
        <v>0</v>
      </c>
      <c r="F34" s="78">
        <f>'Scatter Diagrams'!E13</f>
        <v>30</v>
      </c>
      <c r="G34" s="78">
        <f>'Scatter Diagrams'!F13</f>
        <v>437</v>
      </c>
      <c r="H34" s="78">
        <f>'Scatter Diagrams'!G13</f>
        <v>531</v>
      </c>
      <c r="I34" s="78">
        <f>'Scatter Diagrams'!H13</f>
        <v>454</v>
      </c>
      <c r="J34" s="78">
        <f>'Scatter Diagrams'!I13</f>
        <v>511</v>
      </c>
      <c r="K34" s="78">
        <f>'Scatter Diagrams'!J13</f>
        <v>395</v>
      </c>
      <c r="L34" s="78">
        <f>'Scatter Diagrams'!K13</f>
        <v>186</v>
      </c>
      <c r="M34" s="78">
        <f>'Scatter Diagrams'!L13</f>
        <v>148</v>
      </c>
      <c r="N34" s="78">
        <f>'Scatter Diagrams'!M13</f>
        <v>41</v>
      </c>
      <c r="O34" s="78">
        <f>'Scatter Diagrams'!N13</f>
        <v>4</v>
      </c>
      <c r="P34" s="78">
        <f>'Scatter Diagrams'!O13</f>
        <v>2</v>
      </c>
      <c r="Q34" s="78">
        <f>'Scatter Diagrams'!P13</f>
        <v>1</v>
      </c>
      <c r="R34" s="78">
        <f>'Scatter Diagrams'!Q13</f>
        <v>0</v>
      </c>
      <c r="S34" s="78">
        <f>'Scatter Diagrams'!R13</f>
        <v>0</v>
      </c>
      <c r="T34" s="78">
        <f>'Scatter Diagrams'!S13</f>
        <v>0</v>
      </c>
      <c r="U34" s="73">
        <f t="shared" si="0"/>
        <v>2740</v>
      </c>
      <c r="W34" s="79"/>
    </row>
    <row r="35" spans="4:26" outlineLevel="1" x14ac:dyDescent="0.25">
      <c r="D35" s="77">
        <v>2.75</v>
      </c>
      <c r="E35" s="78">
        <f>'Scatter Diagrams'!D14</f>
        <v>0</v>
      </c>
      <c r="F35" s="78">
        <f>'Scatter Diagrams'!E14</f>
        <v>1</v>
      </c>
      <c r="G35" s="78">
        <f>'Scatter Diagrams'!F14</f>
        <v>193</v>
      </c>
      <c r="H35" s="78">
        <f>'Scatter Diagrams'!G14</f>
        <v>314</v>
      </c>
      <c r="I35" s="78">
        <f>'Scatter Diagrams'!H14</f>
        <v>243</v>
      </c>
      <c r="J35" s="78">
        <f>'Scatter Diagrams'!I14</f>
        <v>407</v>
      </c>
      <c r="K35" s="78">
        <f>'Scatter Diagrams'!J14</f>
        <v>409</v>
      </c>
      <c r="L35" s="78">
        <f>'Scatter Diagrams'!K14</f>
        <v>220</v>
      </c>
      <c r="M35" s="78">
        <f>'Scatter Diagrams'!L14</f>
        <v>142</v>
      </c>
      <c r="N35" s="78">
        <f>'Scatter Diagrams'!M14</f>
        <v>47</v>
      </c>
      <c r="O35" s="78">
        <f>'Scatter Diagrams'!N14</f>
        <v>9</v>
      </c>
      <c r="P35" s="78">
        <f>'Scatter Diagrams'!O14</f>
        <v>8</v>
      </c>
      <c r="Q35" s="78">
        <f>'Scatter Diagrams'!P14</f>
        <v>0</v>
      </c>
      <c r="R35" s="78">
        <f>'Scatter Diagrams'!Q14</f>
        <v>0</v>
      </c>
      <c r="S35" s="78">
        <f>'Scatter Diagrams'!R14</f>
        <v>0</v>
      </c>
      <c r="T35" s="78">
        <f>'Scatter Diagrams'!S14</f>
        <v>0</v>
      </c>
      <c r="U35" s="73">
        <f>SUM(E35:T35)</f>
        <v>1993</v>
      </c>
      <c r="W35" s="79"/>
      <c r="Z35" s="52"/>
    </row>
    <row r="36" spans="4:26" outlineLevel="1" x14ac:dyDescent="0.25">
      <c r="D36" s="77">
        <v>3.25</v>
      </c>
      <c r="E36" s="78">
        <f>'Scatter Diagrams'!D15</f>
        <v>0</v>
      </c>
      <c r="F36" s="78">
        <f>'Scatter Diagrams'!E15</f>
        <v>0</v>
      </c>
      <c r="G36" s="78">
        <f>'Scatter Diagrams'!F15</f>
        <v>15</v>
      </c>
      <c r="H36" s="78">
        <f>'Scatter Diagrams'!G15</f>
        <v>116</v>
      </c>
      <c r="I36" s="78">
        <f>'Scatter Diagrams'!H15</f>
        <v>115</v>
      </c>
      <c r="J36" s="78">
        <f>'Scatter Diagrams'!I15</f>
        <v>245</v>
      </c>
      <c r="K36" s="78">
        <f>'Scatter Diagrams'!J15</f>
        <v>298</v>
      </c>
      <c r="L36" s="78">
        <f>'Scatter Diagrams'!K15</f>
        <v>181</v>
      </c>
      <c r="M36" s="78">
        <f>'Scatter Diagrams'!L15</f>
        <v>101</v>
      </c>
      <c r="N36" s="78">
        <f>'Scatter Diagrams'!M15</f>
        <v>50</v>
      </c>
      <c r="O36" s="78">
        <f>'Scatter Diagrams'!N15</f>
        <v>18</v>
      </c>
      <c r="P36" s="78">
        <f>'Scatter Diagrams'!O15</f>
        <v>5</v>
      </c>
      <c r="Q36" s="78">
        <f>'Scatter Diagrams'!P15</f>
        <v>0</v>
      </c>
      <c r="R36" s="78">
        <f>'Scatter Diagrams'!Q15</f>
        <v>0</v>
      </c>
      <c r="S36" s="78">
        <f>'Scatter Diagrams'!R15</f>
        <v>0</v>
      </c>
      <c r="T36" s="78">
        <f>'Scatter Diagrams'!S15</f>
        <v>0</v>
      </c>
      <c r="U36" s="73">
        <f t="shared" si="0"/>
        <v>1144</v>
      </c>
      <c r="W36" s="79"/>
      <c r="Z36" s="52"/>
    </row>
    <row r="37" spans="4:26" outlineLevel="1" x14ac:dyDescent="0.25">
      <c r="D37" s="77">
        <v>3.75</v>
      </c>
      <c r="E37" s="78">
        <f>'Scatter Diagrams'!D16</f>
        <v>0</v>
      </c>
      <c r="F37" s="78">
        <f>'Scatter Diagrams'!E16</f>
        <v>0</v>
      </c>
      <c r="G37" s="78">
        <f>'Scatter Diagrams'!F16</f>
        <v>2</v>
      </c>
      <c r="H37" s="78">
        <f>'Scatter Diagrams'!G16</f>
        <v>11</v>
      </c>
      <c r="I37" s="78">
        <f>'Scatter Diagrams'!H16</f>
        <v>29</v>
      </c>
      <c r="J37" s="78">
        <f>'Scatter Diagrams'!I16</f>
        <v>127</v>
      </c>
      <c r="K37" s="78">
        <f>'Scatter Diagrams'!J16</f>
        <v>242</v>
      </c>
      <c r="L37" s="78">
        <f>'Scatter Diagrams'!K16</f>
        <v>189</v>
      </c>
      <c r="M37" s="78">
        <f>'Scatter Diagrams'!L16</f>
        <v>66</v>
      </c>
      <c r="N37" s="78">
        <f>'Scatter Diagrams'!M16</f>
        <v>41</v>
      </c>
      <c r="O37" s="78">
        <f>'Scatter Diagrams'!N16</f>
        <v>28</v>
      </c>
      <c r="P37" s="78">
        <f>'Scatter Diagrams'!O16</f>
        <v>7</v>
      </c>
      <c r="Q37" s="78">
        <f>'Scatter Diagrams'!P16</f>
        <v>0</v>
      </c>
      <c r="R37" s="78">
        <f>'Scatter Diagrams'!Q16</f>
        <v>0</v>
      </c>
      <c r="S37" s="78">
        <f>'Scatter Diagrams'!R16</f>
        <v>0</v>
      </c>
      <c r="T37" s="78">
        <f>'Scatter Diagrams'!S16</f>
        <v>0</v>
      </c>
      <c r="U37" s="73">
        <f t="shared" si="0"/>
        <v>742</v>
      </c>
      <c r="W37" s="79"/>
      <c r="Z37" s="52"/>
    </row>
    <row r="38" spans="4:26" outlineLevel="1" x14ac:dyDescent="0.25">
      <c r="D38" s="77">
        <v>4.25</v>
      </c>
      <c r="E38" s="78">
        <f>'Scatter Diagrams'!D17</f>
        <v>0</v>
      </c>
      <c r="F38" s="78">
        <f>'Scatter Diagrams'!E17</f>
        <v>0</v>
      </c>
      <c r="G38" s="78">
        <f>'Scatter Diagrams'!F17</f>
        <v>0</v>
      </c>
      <c r="H38" s="78">
        <f>'Scatter Diagrams'!G17</f>
        <v>1</v>
      </c>
      <c r="I38" s="78">
        <f>'Scatter Diagrams'!H17</f>
        <v>6</v>
      </c>
      <c r="J38" s="78">
        <f>'Scatter Diagrams'!I17</f>
        <v>27</v>
      </c>
      <c r="K38" s="78">
        <f>'Scatter Diagrams'!J17</f>
        <v>125</v>
      </c>
      <c r="L38" s="78">
        <f>'Scatter Diagrams'!K17</f>
        <v>160</v>
      </c>
      <c r="M38" s="78">
        <f>'Scatter Diagrams'!L17</f>
        <v>69</v>
      </c>
      <c r="N38" s="78">
        <f>'Scatter Diagrams'!M17</f>
        <v>37</v>
      </c>
      <c r="O38" s="78">
        <f>'Scatter Diagrams'!N17</f>
        <v>19</v>
      </c>
      <c r="P38" s="78">
        <f>'Scatter Diagrams'!O17</f>
        <v>11</v>
      </c>
      <c r="Q38" s="78">
        <f>'Scatter Diagrams'!P17</f>
        <v>4</v>
      </c>
      <c r="R38" s="78">
        <f>'Scatter Diagrams'!Q17</f>
        <v>0</v>
      </c>
      <c r="S38" s="78">
        <f>'Scatter Diagrams'!R17</f>
        <v>0</v>
      </c>
      <c r="T38" s="78">
        <f>'Scatter Diagrams'!S17</f>
        <v>0</v>
      </c>
      <c r="U38" s="73">
        <f t="shared" si="0"/>
        <v>459</v>
      </c>
      <c r="W38" s="79"/>
    </row>
    <row r="39" spans="4:26" outlineLevel="1" x14ac:dyDescent="0.25">
      <c r="D39" s="77">
        <v>4.75</v>
      </c>
      <c r="E39" s="78">
        <f>'Scatter Diagrams'!D18</f>
        <v>0</v>
      </c>
      <c r="F39" s="78">
        <f>'Scatter Diagrams'!E18</f>
        <v>0</v>
      </c>
      <c r="G39" s="78">
        <f>'Scatter Diagrams'!F18</f>
        <v>0</v>
      </c>
      <c r="H39" s="78">
        <f>'Scatter Diagrams'!G18</f>
        <v>0</v>
      </c>
      <c r="I39" s="78">
        <f>'Scatter Diagrams'!H18</f>
        <v>2</v>
      </c>
      <c r="J39" s="78">
        <f>'Scatter Diagrams'!I18</f>
        <v>5</v>
      </c>
      <c r="K39" s="78">
        <f>'Scatter Diagrams'!J18</f>
        <v>40</v>
      </c>
      <c r="L39" s="78">
        <f>'Scatter Diagrams'!K18</f>
        <v>55</v>
      </c>
      <c r="M39" s="78">
        <f>'Scatter Diagrams'!L18</f>
        <v>47</v>
      </c>
      <c r="N39" s="78">
        <f>'Scatter Diagrams'!M18</f>
        <v>29</v>
      </c>
      <c r="O39" s="78">
        <f>'Scatter Diagrams'!N18</f>
        <v>16</v>
      </c>
      <c r="P39" s="78">
        <f>'Scatter Diagrams'!O18</f>
        <v>8</v>
      </c>
      <c r="Q39" s="78">
        <f>'Scatter Diagrams'!P18</f>
        <v>1</v>
      </c>
      <c r="R39" s="78">
        <f>'Scatter Diagrams'!Q18</f>
        <v>0</v>
      </c>
      <c r="S39" s="78">
        <f>'Scatter Diagrams'!R18</f>
        <v>0</v>
      </c>
      <c r="T39" s="78">
        <f>'Scatter Diagrams'!S18</f>
        <v>0</v>
      </c>
      <c r="U39" s="73">
        <f t="shared" si="0"/>
        <v>203</v>
      </c>
      <c r="W39" s="79"/>
    </row>
    <row r="40" spans="4:26" outlineLevel="1" x14ac:dyDescent="0.25">
      <c r="D40" s="77">
        <v>5.25</v>
      </c>
      <c r="E40" s="78">
        <f>'Scatter Diagrams'!D19</f>
        <v>0</v>
      </c>
      <c r="F40" s="78">
        <f>'Scatter Diagrams'!E19</f>
        <v>0</v>
      </c>
      <c r="G40" s="78">
        <f>'Scatter Diagrams'!F19</f>
        <v>0</v>
      </c>
      <c r="H40" s="78">
        <f>'Scatter Diagrams'!G19</f>
        <v>0</v>
      </c>
      <c r="I40" s="78">
        <f>'Scatter Diagrams'!H19</f>
        <v>0</v>
      </c>
      <c r="J40" s="78">
        <f>'Scatter Diagrams'!I19</f>
        <v>2</v>
      </c>
      <c r="K40" s="78">
        <f>'Scatter Diagrams'!J19</f>
        <v>16</v>
      </c>
      <c r="L40" s="78">
        <f>'Scatter Diagrams'!K19</f>
        <v>26</v>
      </c>
      <c r="M40" s="78">
        <f>'Scatter Diagrams'!L19</f>
        <v>32</v>
      </c>
      <c r="N40" s="78">
        <f>'Scatter Diagrams'!M19</f>
        <v>20</v>
      </c>
      <c r="O40" s="78">
        <f>'Scatter Diagrams'!N19</f>
        <v>8</v>
      </c>
      <c r="P40" s="78">
        <f>'Scatter Diagrams'!O19</f>
        <v>3</v>
      </c>
      <c r="Q40" s="78">
        <f>'Scatter Diagrams'!P19</f>
        <v>2</v>
      </c>
      <c r="R40" s="78">
        <f>'Scatter Diagrams'!Q19</f>
        <v>0</v>
      </c>
      <c r="S40" s="78">
        <f>'Scatter Diagrams'!R19</f>
        <v>0</v>
      </c>
      <c r="T40" s="78">
        <f>'Scatter Diagrams'!S19</f>
        <v>0</v>
      </c>
      <c r="U40" s="73">
        <f t="shared" si="0"/>
        <v>109</v>
      </c>
      <c r="W40" s="79"/>
    </row>
    <row r="41" spans="4:26" outlineLevel="1" x14ac:dyDescent="0.25">
      <c r="D41" s="77">
        <v>5.75</v>
      </c>
      <c r="E41" s="78">
        <f>'Scatter Diagrams'!D20</f>
        <v>0</v>
      </c>
      <c r="F41" s="78">
        <f>'Scatter Diagrams'!E20</f>
        <v>0</v>
      </c>
      <c r="G41" s="78">
        <f>'Scatter Diagrams'!F20</f>
        <v>0</v>
      </c>
      <c r="H41" s="78">
        <f>'Scatter Diagrams'!G20</f>
        <v>0</v>
      </c>
      <c r="I41" s="78">
        <f>'Scatter Diagrams'!H20</f>
        <v>0</v>
      </c>
      <c r="J41" s="78">
        <f>'Scatter Diagrams'!I20</f>
        <v>1</v>
      </c>
      <c r="K41" s="78">
        <f>'Scatter Diagrams'!J20</f>
        <v>6</v>
      </c>
      <c r="L41" s="78">
        <f>'Scatter Diagrams'!K20</f>
        <v>19</v>
      </c>
      <c r="M41" s="78">
        <f>'Scatter Diagrams'!L20</f>
        <v>13</v>
      </c>
      <c r="N41" s="78">
        <f>'Scatter Diagrams'!M20</f>
        <v>18</v>
      </c>
      <c r="O41" s="78">
        <f>'Scatter Diagrams'!N20</f>
        <v>10</v>
      </c>
      <c r="P41" s="78">
        <f>'Scatter Diagrams'!O20</f>
        <v>1</v>
      </c>
      <c r="Q41" s="78">
        <f>'Scatter Diagrams'!P20</f>
        <v>1</v>
      </c>
      <c r="R41" s="78">
        <f>'Scatter Diagrams'!Q20</f>
        <v>0</v>
      </c>
      <c r="S41" s="78">
        <f>'Scatter Diagrams'!R20</f>
        <v>0</v>
      </c>
      <c r="T41" s="78">
        <f>'Scatter Diagrams'!S20</f>
        <v>0</v>
      </c>
      <c r="U41" s="73">
        <f t="shared" si="0"/>
        <v>69</v>
      </c>
      <c r="W41" s="79"/>
    </row>
    <row r="42" spans="4:26" outlineLevel="1" x14ac:dyDescent="0.25">
      <c r="D42" s="77">
        <v>6.25</v>
      </c>
      <c r="E42" s="78">
        <f>'Scatter Diagrams'!D21</f>
        <v>0</v>
      </c>
      <c r="F42" s="78">
        <f>'Scatter Diagrams'!E21</f>
        <v>0</v>
      </c>
      <c r="G42" s="78">
        <f>'Scatter Diagrams'!F21</f>
        <v>0</v>
      </c>
      <c r="H42" s="78">
        <f>'Scatter Diagrams'!G21</f>
        <v>0</v>
      </c>
      <c r="I42" s="78">
        <f>'Scatter Diagrams'!H21</f>
        <v>0</v>
      </c>
      <c r="J42" s="78">
        <f>'Scatter Diagrams'!I21</f>
        <v>0</v>
      </c>
      <c r="K42" s="78">
        <f>'Scatter Diagrams'!J21</f>
        <v>3</v>
      </c>
      <c r="L42" s="78">
        <f>'Scatter Diagrams'!K21</f>
        <v>8</v>
      </c>
      <c r="M42" s="78">
        <f>'Scatter Diagrams'!L21</f>
        <v>10</v>
      </c>
      <c r="N42" s="78">
        <f>'Scatter Diagrams'!M21</f>
        <v>16</v>
      </c>
      <c r="O42" s="78">
        <f>'Scatter Diagrams'!N21</f>
        <v>6</v>
      </c>
      <c r="P42" s="78">
        <f>'Scatter Diagrams'!O21</f>
        <v>1</v>
      </c>
      <c r="Q42" s="78">
        <f>'Scatter Diagrams'!P21</f>
        <v>0</v>
      </c>
      <c r="R42" s="78">
        <f>'Scatter Diagrams'!Q21</f>
        <v>0</v>
      </c>
      <c r="S42" s="78">
        <f>'Scatter Diagrams'!R21</f>
        <v>0</v>
      </c>
      <c r="T42" s="78">
        <f>'Scatter Diagrams'!S21</f>
        <v>0</v>
      </c>
      <c r="U42" s="73">
        <f t="shared" si="0"/>
        <v>44</v>
      </c>
      <c r="W42" s="79"/>
    </row>
    <row r="43" spans="4:26" outlineLevel="1" x14ac:dyDescent="0.25">
      <c r="D43" s="77">
        <v>6.75</v>
      </c>
      <c r="E43" s="78">
        <f>'Scatter Diagrams'!D22</f>
        <v>0</v>
      </c>
      <c r="F43" s="78">
        <f>'Scatter Diagrams'!E22</f>
        <v>0</v>
      </c>
      <c r="G43" s="78">
        <f>'Scatter Diagrams'!F22</f>
        <v>0</v>
      </c>
      <c r="H43" s="78">
        <f>'Scatter Diagrams'!G22</f>
        <v>0</v>
      </c>
      <c r="I43" s="78">
        <f>'Scatter Diagrams'!H22</f>
        <v>0</v>
      </c>
      <c r="J43" s="78">
        <f>'Scatter Diagrams'!I22</f>
        <v>0</v>
      </c>
      <c r="K43" s="78">
        <f>'Scatter Diagrams'!J22</f>
        <v>0</v>
      </c>
      <c r="L43" s="78">
        <f>'Scatter Diagrams'!K22</f>
        <v>0</v>
      </c>
      <c r="M43" s="78">
        <f>'Scatter Diagrams'!L22</f>
        <v>2</v>
      </c>
      <c r="N43" s="78">
        <f>'Scatter Diagrams'!M22</f>
        <v>4</v>
      </c>
      <c r="O43" s="78">
        <f>'Scatter Diagrams'!N22</f>
        <v>1</v>
      </c>
      <c r="P43" s="78">
        <f>'Scatter Diagrams'!O22</f>
        <v>1</v>
      </c>
      <c r="Q43" s="78">
        <f>'Scatter Diagrams'!P22</f>
        <v>0</v>
      </c>
      <c r="R43" s="78">
        <f>'Scatter Diagrams'!Q22</f>
        <v>0</v>
      </c>
      <c r="S43" s="78">
        <f>'Scatter Diagrams'!R22</f>
        <v>0</v>
      </c>
      <c r="T43" s="78">
        <f>'Scatter Diagrams'!S22</f>
        <v>0</v>
      </c>
      <c r="U43" s="73">
        <f t="shared" si="0"/>
        <v>8</v>
      </c>
      <c r="W43" s="79"/>
    </row>
    <row r="44" spans="4:26" outlineLevel="1" x14ac:dyDescent="0.25">
      <c r="D44" s="77">
        <v>7.25</v>
      </c>
      <c r="E44" s="78">
        <f>'Scatter Diagrams'!D23</f>
        <v>0</v>
      </c>
      <c r="F44" s="78">
        <f>'Scatter Diagrams'!E23</f>
        <v>0</v>
      </c>
      <c r="G44" s="78">
        <f>'Scatter Diagrams'!F23</f>
        <v>0</v>
      </c>
      <c r="H44" s="78">
        <f>'Scatter Diagrams'!G23</f>
        <v>0</v>
      </c>
      <c r="I44" s="78">
        <f>'Scatter Diagrams'!H23</f>
        <v>0</v>
      </c>
      <c r="J44" s="78">
        <f>'Scatter Diagrams'!I23</f>
        <v>0</v>
      </c>
      <c r="K44" s="78">
        <f>'Scatter Diagrams'!J23</f>
        <v>0</v>
      </c>
      <c r="L44" s="78">
        <f>'Scatter Diagrams'!K23</f>
        <v>1</v>
      </c>
      <c r="M44" s="78">
        <f>'Scatter Diagrams'!L23</f>
        <v>1</v>
      </c>
      <c r="N44" s="78">
        <f>'Scatter Diagrams'!M23</f>
        <v>2</v>
      </c>
      <c r="O44" s="78">
        <f>'Scatter Diagrams'!N23</f>
        <v>1</v>
      </c>
      <c r="P44" s="78">
        <f>'Scatter Diagrams'!O23</f>
        <v>1</v>
      </c>
      <c r="Q44" s="78">
        <f>'Scatter Diagrams'!P23</f>
        <v>0</v>
      </c>
      <c r="R44" s="78">
        <f>'Scatter Diagrams'!Q23</f>
        <v>0</v>
      </c>
      <c r="S44" s="78">
        <f>'Scatter Diagrams'!R23</f>
        <v>0</v>
      </c>
      <c r="T44" s="78">
        <f>'Scatter Diagrams'!S23</f>
        <v>0</v>
      </c>
      <c r="U44" s="73">
        <f t="shared" si="0"/>
        <v>6</v>
      </c>
      <c r="W44" s="79"/>
    </row>
    <row r="45" spans="4:26" outlineLevel="1" x14ac:dyDescent="0.25">
      <c r="D45" s="77">
        <v>7.75</v>
      </c>
      <c r="E45" s="78">
        <f>'Scatter Diagrams'!D24</f>
        <v>0</v>
      </c>
      <c r="F45" s="78">
        <f>'Scatter Diagrams'!E24</f>
        <v>0</v>
      </c>
      <c r="G45" s="78">
        <f>'Scatter Diagrams'!F24</f>
        <v>0</v>
      </c>
      <c r="H45" s="78">
        <f>'Scatter Diagrams'!G24</f>
        <v>0</v>
      </c>
      <c r="I45" s="78">
        <f>'Scatter Diagrams'!H24</f>
        <v>0</v>
      </c>
      <c r="J45" s="78">
        <f>'Scatter Diagrams'!I24</f>
        <v>0</v>
      </c>
      <c r="K45" s="78">
        <f>'Scatter Diagrams'!J24</f>
        <v>0</v>
      </c>
      <c r="L45" s="78">
        <f>'Scatter Diagrams'!K24</f>
        <v>0</v>
      </c>
      <c r="M45" s="78">
        <f>'Scatter Diagrams'!L24</f>
        <v>0</v>
      </c>
      <c r="N45" s="78">
        <f>'Scatter Diagrams'!M24</f>
        <v>2</v>
      </c>
      <c r="O45" s="78">
        <f>'Scatter Diagrams'!N24</f>
        <v>1</v>
      </c>
      <c r="P45" s="78">
        <f>'Scatter Diagrams'!O24</f>
        <v>0</v>
      </c>
      <c r="Q45" s="78">
        <f>'Scatter Diagrams'!P24</f>
        <v>0</v>
      </c>
      <c r="R45" s="78">
        <f>'Scatter Diagrams'!Q24</f>
        <v>0</v>
      </c>
      <c r="S45" s="78">
        <f>'Scatter Diagrams'!R24</f>
        <v>0</v>
      </c>
      <c r="T45" s="78">
        <f>'Scatter Diagrams'!S24</f>
        <v>0</v>
      </c>
      <c r="U45" s="73">
        <f t="shared" si="0"/>
        <v>3</v>
      </c>
      <c r="W45" s="79"/>
    </row>
    <row r="46" spans="4:26" outlineLevel="1" x14ac:dyDescent="0.25">
      <c r="D46" s="77">
        <v>8.25</v>
      </c>
      <c r="E46" s="78">
        <f>'Scatter Diagrams'!D25</f>
        <v>0</v>
      </c>
      <c r="F46" s="78">
        <f>'Scatter Diagrams'!E25</f>
        <v>0</v>
      </c>
      <c r="G46" s="78">
        <f>'Scatter Diagrams'!F25</f>
        <v>0</v>
      </c>
      <c r="H46" s="78">
        <f>'Scatter Diagrams'!G25</f>
        <v>0</v>
      </c>
      <c r="I46" s="78">
        <f>'Scatter Diagrams'!H25</f>
        <v>0</v>
      </c>
      <c r="J46" s="78">
        <f>'Scatter Diagrams'!I25</f>
        <v>0</v>
      </c>
      <c r="K46" s="78">
        <f>'Scatter Diagrams'!J25</f>
        <v>0</v>
      </c>
      <c r="L46" s="78">
        <f>'Scatter Diagrams'!K25</f>
        <v>0</v>
      </c>
      <c r="M46" s="78">
        <f>'Scatter Diagrams'!L25</f>
        <v>0</v>
      </c>
      <c r="N46" s="78">
        <f>'Scatter Diagrams'!M25</f>
        <v>0</v>
      </c>
      <c r="O46" s="78">
        <f>'Scatter Diagrams'!N25</f>
        <v>1</v>
      </c>
      <c r="P46" s="78">
        <f>'Scatter Diagrams'!O25</f>
        <v>0</v>
      </c>
      <c r="Q46" s="78">
        <f>'Scatter Diagrams'!P25</f>
        <v>0</v>
      </c>
      <c r="R46" s="78">
        <f>'Scatter Diagrams'!Q25</f>
        <v>0</v>
      </c>
      <c r="S46" s="78">
        <f>'Scatter Diagrams'!R25</f>
        <v>0</v>
      </c>
      <c r="T46" s="78">
        <f>'Scatter Diagrams'!S25</f>
        <v>0</v>
      </c>
      <c r="U46" s="73">
        <f t="shared" si="0"/>
        <v>1</v>
      </c>
      <c r="W46" s="79"/>
    </row>
    <row r="47" spans="4:26" outlineLevel="1" x14ac:dyDescent="0.25">
      <c r="D47" s="77">
        <v>8.75</v>
      </c>
      <c r="E47" s="78">
        <f>'Scatter Diagrams'!D26</f>
        <v>0</v>
      </c>
      <c r="F47" s="78">
        <f>'Scatter Diagrams'!E26</f>
        <v>0</v>
      </c>
      <c r="G47" s="78">
        <f>'Scatter Diagrams'!F26</f>
        <v>0</v>
      </c>
      <c r="H47" s="78">
        <f>'Scatter Diagrams'!G26</f>
        <v>0</v>
      </c>
      <c r="I47" s="78">
        <f>'Scatter Diagrams'!H26</f>
        <v>0</v>
      </c>
      <c r="J47" s="78">
        <f>'Scatter Diagrams'!I26</f>
        <v>0</v>
      </c>
      <c r="K47" s="78">
        <f>'Scatter Diagrams'!J26</f>
        <v>0</v>
      </c>
      <c r="L47" s="78">
        <f>'Scatter Diagrams'!K26</f>
        <v>0</v>
      </c>
      <c r="M47" s="78">
        <f>'Scatter Diagrams'!L26</f>
        <v>0</v>
      </c>
      <c r="N47" s="78">
        <f>'Scatter Diagrams'!M26</f>
        <v>0</v>
      </c>
      <c r="O47" s="78">
        <f>'Scatter Diagrams'!N26</f>
        <v>2</v>
      </c>
      <c r="P47" s="78">
        <f>'Scatter Diagrams'!O26</f>
        <v>0</v>
      </c>
      <c r="Q47" s="78">
        <f>'Scatter Diagrams'!P26</f>
        <v>0</v>
      </c>
      <c r="R47" s="78">
        <f>'Scatter Diagrams'!Q26</f>
        <v>0</v>
      </c>
      <c r="S47" s="78">
        <f>'Scatter Diagrams'!R26</f>
        <v>0</v>
      </c>
      <c r="T47" s="78">
        <f>'Scatter Diagrams'!S26</f>
        <v>0</v>
      </c>
      <c r="U47" s="73">
        <f t="shared" si="0"/>
        <v>2</v>
      </c>
      <c r="W47" s="79"/>
    </row>
    <row r="48" spans="4:26" outlineLevel="1" x14ac:dyDescent="0.25">
      <c r="D48" s="77">
        <v>9.25</v>
      </c>
      <c r="E48" s="78">
        <f>'Scatter Diagrams'!D27</f>
        <v>0</v>
      </c>
      <c r="F48" s="78">
        <f>'Scatter Diagrams'!E27</f>
        <v>0</v>
      </c>
      <c r="G48" s="78">
        <f>'Scatter Diagrams'!F27</f>
        <v>0</v>
      </c>
      <c r="H48" s="78">
        <f>'Scatter Diagrams'!G27</f>
        <v>0</v>
      </c>
      <c r="I48" s="78">
        <f>'Scatter Diagrams'!H27</f>
        <v>0</v>
      </c>
      <c r="J48" s="78">
        <f>'Scatter Diagrams'!I27</f>
        <v>0</v>
      </c>
      <c r="K48" s="78">
        <f>'Scatter Diagrams'!J27</f>
        <v>0</v>
      </c>
      <c r="L48" s="78">
        <f>'Scatter Diagrams'!K27</f>
        <v>0</v>
      </c>
      <c r="M48" s="78">
        <f>'Scatter Diagrams'!L27</f>
        <v>0</v>
      </c>
      <c r="N48" s="78">
        <f>'Scatter Diagrams'!M27</f>
        <v>0</v>
      </c>
      <c r="O48" s="78">
        <f>'Scatter Diagrams'!N27</f>
        <v>0</v>
      </c>
      <c r="P48" s="78">
        <f>'Scatter Diagrams'!O27</f>
        <v>0</v>
      </c>
      <c r="Q48" s="78">
        <f>'Scatter Diagrams'!P27</f>
        <v>0</v>
      </c>
      <c r="R48" s="78">
        <f>'Scatter Diagrams'!Q27</f>
        <v>0</v>
      </c>
      <c r="S48" s="78">
        <f>'Scatter Diagrams'!R27</f>
        <v>0</v>
      </c>
      <c r="T48" s="78">
        <f>'Scatter Diagrams'!S27</f>
        <v>0</v>
      </c>
      <c r="U48" s="73">
        <f t="shared" si="0"/>
        <v>0</v>
      </c>
      <c r="W48" s="79"/>
    </row>
    <row r="49" spans="1:23" outlineLevel="1" x14ac:dyDescent="0.25">
      <c r="D49" s="77">
        <v>9.75</v>
      </c>
      <c r="E49" s="78">
        <f>'Scatter Diagrams'!D28</f>
        <v>0</v>
      </c>
      <c r="F49" s="78">
        <f>'Scatter Diagrams'!E28</f>
        <v>0</v>
      </c>
      <c r="G49" s="78">
        <f>'Scatter Diagrams'!F28</f>
        <v>0</v>
      </c>
      <c r="H49" s="78">
        <f>'Scatter Diagrams'!G28</f>
        <v>0</v>
      </c>
      <c r="I49" s="78">
        <f>'Scatter Diagrams'!H28</f>
        <v>0</v>
      </c>
      <c r="J49" s="78">
        <f>'Scatter Diagrams'!I28</f>
        <v>0</v>
      </c>
      <c r="K49" s="78">
        <f>'Scatter Diagrams'!J28</f>
        <v>0</v>
      </c>
      <c r="L49" s="78">
        <f>'Scatter Diagrams'!K28</f>
        <v>0</v>
      </c>
      <c r="M49" s="78">
        <f>'Scatter Diagrams'!L28</f>
        <v>0</v>
      </c>
      <c r="N49" s="78">
        <f>'Scatter Diagrams'!M28</f>
        <v>0</v>
      </c>
      <c r="O49" s="78">
        <f>'Scatter Diagrams'!N28</f>
        <v>0</v>
      </c>
      <c r="P49" s="78">
        <f>'Scatter Diagrams'!O28</f>
        <v>0</v>
      </c>
      <c r="Q49" s="78">
        <f>'Scatter Diagrams'!P28</f>
        <v>0</v>
      </c>
      <c r="R49" s="78">
        <f>'Scatter Diagrams'!Q28</f>
        <v>0</v>
      </c>
      <c r="S49" s="78">
        <f>'Scatter Diagrams'!R28</f>
        <v>0</v>
      </c>
      <c r="T49" s="78">
        <f>'Scatter Diagrams'!S28</f>
        <v>0</v>
      </c>
      <c r="U49" s="73">
        <f t="shared" si="0"/>
        <v>0</v>
      </c>
      <c r="W49" s="79"/>
    </row>
    <row r="50" spans="1:23" outlineLevel="1" x14ac:dyDescent="0.25">
      <c r="D50" s="77"/>
      <c r="E50" s="80">
        <f>SUM(E30:E49)</f>
        <v>2</v>
      </c>
      <c r="F50" s="80">
        <f t="shared" ref="F50:T50" si="1">SUM(F30:F49)</f>
        <v>279</v>
      </c>
      <c r="G50" s="80">
        <f t="shared" si="1"/>
        <v>1612</v>
      </c>
      <c r="H50" s="80">
        <f t="shared" si="1"/>
        <v>2069</v>
      </c>
      <c r="I50" s="80">
        <f t="shared" si="1"/>
        <v>1936</v>
      </c>
      <c r="J50" s="80">
        <f t="shared" si="1"/>
        <v>2182</v>
      </c>
      <c r="K50" s="80">
        <f t="shared" si="1"/>
        <v>1998</v>
      </c>
      <c r="L50" s="80">
        <f t="shared" si="1"/>
        <v>1244</v>
      </c>
      <c r="M50" s="80">
        <f t="shared" si="1"/>
        <v>725</v>
      </c>
      <c r="N50" s="80">
        <f t="shared" si="1"/>
        <v>315</v>
      </c>
      <c r="O50" s="80">
        <f t="shared" si="1"/>
        <v>124</v>
      </c>
      <c r="P50" s="80">
        <f t="shared" si="1"/>
        <v>49</v>
      </c>
      <c r="Q50" s="80">
        <f t="shared" si="1"/>
        <v>10</v>
      </c>
      <c r="R50" s="80">
        <f t="shared" si="1"/>
        <v>2</v>
      </c>
      <c r="S50" s="80">
        <f t="shared" si="1"/>
        <v>0</v>
      </c>
      <c r="T50" s="80">
        <f t="shared" si="1"/>
        <v>0</v>
      </c>
      <c r="U50" s="73">
        <f>SUM(U30:U49)</f>
        <v>12547</v>
      </c>
    </row>
    <row r="51" spans="1:23" outlineLevel="1" x14ac:dyDescent="0.25">
      <c r="D51" s="77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</row>
    <row r="52" spans="1:23" outlineLevel="1" x14ac:dyDescent="0.25">
      <c r="A52" s="45" t="s">
        <v>119</v>
      </c>
    </row>
    <row r="53" spans="1:23" outlineLevel="1" x14ac:dyDescent="0.25">
      <c r="A53" s="45"/>
      <c r="E53" s="43" t="s">
        <v>117</v>
      </c>
    </row>
    <row r="54" spans="1:23" outlineLevel="1" x14ac:dyDescent="0.25">
      <c r="D54" s="75"/>
      <c r="E54" s="76">
        <v>4.5</v>
      </c>
      <c r="F54" s="76">
        <v>5.5</v>
      </c>
      <c r="G54" s="76">
        <v>6.5</v>
      </c>
      <c r="H54" s="76">
        <v>7.5</v>
      </c>
      <c r="I54" s="76">
        <v>8.5</v>
      </c>
      <c r="J54" s="76">
        <v>9.5</v>
      </c>
      <c r="K54" s="76">
        <v>10.5</v>
      </c>
      <c r="L54" s="76">
        <v>11.5</v>
      </c>
      <c r="M54" s="76">
        <v>12.5</v>
      </c>
      <c r="N54" s="76">
        <v>13.5</v>
      </c>
      <c r="O54" s="76">
        <v>14.5</v>
      </c>
      <c r="P54" s="76">
        <v>15.5</v>
      </c>
      <c r="Q54" s="76">
        <v>16.5</v>
      </c>
      <c r="R54" s="76">
        <v>17.5</v>
      </c>
      <c r="S54" s="76">
        <v>18.5</v>
      </c>
      <c r="T54" s="76">
        <v>19.5</v>
      </c>
    </row>
    <row r="55" spans="1:23" outlineLevel="1" x14ac:dyDescent="0.25">
      <c r="C55" s="43" t="s">
        <v>118</v>
      </c>
      <c r="D55" s="77">
        <v>0.25</v>
      </c>
      <c r="E55" s="81">
        <f>IF(E30&gt;0,0.49*E$29*$D30^2,0)</f>
        <v>0</v>
      </c>
      <c r="F55" s="81">
        <f t="shared" ref="F55:T55" si="2">IF(F30&gt;0,0.49*F$29*$D30^2,0)</f>
        <v>0</v>
      </c>
      <c r="G55" s="81">
        <f t="shared" si="2"/>
        <v>0</v>
      </c>
      <c r="H55" s="81">
        <f t="shared" si="2"/>
        <v>0</v>
      </c>
      <c r="I55" s="81">
        <f t="shared" si="2"/>
        <v>0</v>
      </c>
      <c r="J55" s="81">
        <f t="shared" si="2"/>
        <v>0</v>
      </c>
      <c r="K55" s="81">
        <f t="shared" si="2"/>
        <v>0</v>
      </c>
      <c r="L55" s="81">
        <f t="shared" si="2"/>
        <v>0</v>
      </c>
      <c r="M55" s="81">
        <f t="shared" si="2"/>
        <v>0</v>
      </c>
      <c r="N55" s="81">
        <f t="shared" si="2"/>
        <v>0</v>
      </c>
      <c r="O55" s="81">
        <f t="shared" si="2"/>
        <v>0</v>
      </c>
      <c r="P55" s="81">
        <f t="shared" si="2"/>
        <v>0</v>
      </c>
      <c r="Q55" s="81">
        <f t="shared" si="2"/>
        <v>0</v>
      </c>
      <c r="R55" s="81">
        <f t="shared" si="2"/>
        <v>0</v>
      </c>
      <c r="S55" s="81">
        <f t="shared" si="2"/>
        <v>0</v>
      </c>
      <c r="T55" s="81">
        <f t="shared" si="2"/>
        <v>0</v>
      </c>
      <c r="U55" s="82">
        <f>SUM(E55:T55)</f>
        <v>0</v>
      </c>
    </row>
    <row r="56" spans="1:23" outlineLevel="1" x14ac:dyDescent="0.25">
      <c r="D56" s="77">
        <v>0.75</v>
      </c>
      <c r="E56" s="81">
        <f t="shared" ref="E56:T71" si="3">IF(E31&gt;0,0.49*E$29*$D31^2,0)</f>
        <v>0</v>
      </c>
      <c r="F56" s="81">
        <f t="shared" si="3"/>
        <v>1.5159374999999999</v>
      </c>
      <c r="G56" s="81">
        <f t="shared" si="3"/>
        <v>1.7915624999999999</v>
      </c>
      <c r="H56" s="81">
        <f t="shared" si="3"/>
        <v>2.0671874999999997</v>
      </c>
      <c r="I56" s="81">
        <f t="shared" si="3"/>
        <v>2.3428125</v>
      </c>
      <c r="J56" s="81">
        <f t="shared" si="3"/>
        <v>2.6184375000000002</v>
      </c>
      <c r="K56" s="81">
        <f t="shared" si="3"/>
        <v>2.8940624999999995</v>
      </c>
      <c r="L56" s="81">
        <f t="shared" si="3"/>
        <v>3.1696874999999998</v>
      </c>
      <c r="M56" s="81">
        <f t="shared" si="3"/>
        <v>0</v>
      </c>
      <c r="N56" s="81">
        <f t="shared" si="3"/>
        <v>3.7209375000000002</v>
      </c>
      <c r="O56" s="81">
        <f t="shared" si="3"/>
        <v>0</v>
      </c>
      <c r="P56" s="81">
        <f t="shared" si="3"/>
        <v>4.2721875000000002</v>
      </c>
      <c r="Q56" s="81">
        <f t="shared" si="3"/>
        <v>0</v>
      </c>
      <c r="R56" s="81">
        <f t="shared" si="3"/>
        <v>0</v>
      </c>
      <c r="S56" s="81">
        <f t="shared" si="3"/>
        <v>0</v>
      </c>
      <c r="T56" s="81">
        <f t="shared" si="3"/>
        <v>0</v>
      </c>
      <c r="U56" s="82">
        <f t="shared" ref="U56:U74" si="4">SUM(E56:T56)</f>
        <v>24.392812500000002</v>
      </c>
    </row>
    <row r="57" spans="1:23" outlineLevel="1" x14ac:dyDescent="0.25">
      <c r="D57" s="77">
        <v>1.25</v>
      </c>
      <c r="E57" s="81">
        <f t="shared" si="3"/>
        <v>3.4453125</v>
      </c>
      <c r="F57" s="81">
        <f t="shared" si="3"/>
        <v>4.2109375</v>
      </c>
      <c r="G57" s="81">
        <f t="shared" si="3"/>
        <v>4.9765625</v>
      </c>
      <c r="H57" s="81">
        <f t="shared" si="3"/>
        <v>5.7421875</v>
      </c>
      <c r="I57" s="81">
        <f t="shared" si="3"/>
        <v>6.5078125</v>
      </c>
      <c r="J57" s="81">
        <f t="shared" si="3"/>
        <v>7.2734375</v>
      </c>
      <c r="K57" s="81">
        <f t="shared" si="3"/>
        <v>8.0390625</v>
      </c>
      <c r="L57" s="81">
        <f t="shared" si="3"/>
        <v>8.8046875</v>
      </c>
      <c r="M57" s="81">
        <f t="shared" si="3"/>
        <v>9.5703125</v>
      </c>
      <c r="N57" s="81">
        <f t="shared" si="3"/>
        <v>0</v>
      </c>
      <c r="O57" s="81">
        <f t="shared" si="3"/>
        <v>0</v>
      </c>
      <c r="P57" s="81">
        <f t="shared" si="3"/>
        <v>0</v>
      </c>
      <c r="Q57" s="81">
        <f t="shared" si="3"/>
        <v>12.632812499999998</v>
      </c>
      <c r="R57" s="81">
        <f t="shared" si="3"/>
        <v>13.398437499999998</v>
      </c>
      <c r="S57" s="81">
        <f t="shared" si="3"/>
        <v>0</v>
      </c>
      <c r="T57" s="81">
        <f t="shared" si="3"/>
        <v>0</v>
      </c>
      <c r="U57" s="82">
        <f t="shared" si="4"/>
        <v>84.6015625</v>
      </c>
    </row>
    <row r="58" spans="1:23" outlineLevel="1" x14ac:dyDescent="0.25">
      <c r="D58" s="77">
        <v>1.75</v>
      </c>
      <c r="E58" s="81">
        <f t="shared" si="3"/>
        <v>0</v>
      </c>
      <c r="F58" s="81">
        <f t="shared" si="3"/>
        <v>8.2534374999999986</v>
      </c>
      <c r="G58" s="81">
        <f t="shared" si="3"/>
        <v>9.7540624999999999</v>
      </c>
      <c r="H58" s="81">
        <f t="shared" si="3"/>
        <v>11.254687499999999</v>
      </c>
      <c r="I58" s="81">
        <f t="shared" si="3"/>
        <v>12.7553125</v>
      </c>
      <c r="J58" s="81">
        <f t="shared" si="3"/>
        <v>14.2559375</v>
      </c>
      <c r="K58" s="81">
        <f t="shared" si="3"/>
        <v>15.756562499999999</v>
      </c>
      <c r="L58" s="81">
        <f t="shared" si="3"/>
        <v>17.257187500000001</v>
      </c>
      <c r="M58" s="81">
        <f t="shared" si="3"/>
        <v>18.7578125</v>
      </c>
      <c r="N58" s="81">
        <f t="shared" si="3"/>
        <v>20.258437499999999</v>
      </c>
      <c r="O58" s="81">
        <f t="shared" si="3"/>
        <v>0</v>
      </c>
      <c r="P58" s="81">
        <f t="shared" si="3"/>
        <v>0</v>
      </c>
      <c r="Q58" s="81">
        <f t="shared" si="3"/>
        <v>0</v>
      </c>
      <c r="R58" s="81">
        <f t="shared" si="3"/>
        <v>26.260937499999997</v>
      </c>
      <c r="S58" s="81">
        <f t="shared" si="3"/>
        <v>0</v>
      </c>
      <c r="T58" s="81">
        <f t="shared" si="3"/>
        <v>0</v>
      </c>
      <c r="U58" s="82">
        <f t="shared" si="4"/>
        <v>154.56437499999998</v>
      </c>
    </row>
    <row r="59" spans="1:23" outlineLevel="1" x14ac:dyDescent="0.25">
      <c r="D59" s="77">
        <v>2.25</v>
      </c>
      <c r="E59" s="81">
        <f t="shared" si="3"/>
        <v>0</v>
      </c>
      <c r="F59" s="81">
        <f t="shared" si="3"/>
        <v>13.643437499999999</v>
      </c>
      <c r="G59" s="81">
        <f t="shared" si="3"/>
        <v>16.124062500000001</v>
      </c>
      <c r="H59" s="81">
        <f t="shared" si="3"/>
        <v>18.604687500000001</v>
      </c>
      <c r="I59" s="81">
        <f t="shared" si="3"/>
        <v>21.085312500000001</v>
      </c>
      <c r="J59" s="81">
        <f t="shared" si="3"/>
        <v>23.5659375</v>
      </c>
      <c r="K59" s="81">
        <f t="shared" si="3"/>
        <v>26.046562499999997</v>
      </c>
      <c r="L59" s="81">
        <f t="shared" si="3"/>
        <v>28.5271875</v>
      </c>
      <c r="M59" s="81">
        <f t="shared" si="3"/>
        <v>31.0078125</v>
      </c>
      <c r="N59" s="81">
        <f t="shared" si="3"/>
        <v>33.488437500000003</v>
      </c>
      <c r="O59" s="81">
        <f t="shared" si="3"/>
        <v>35.9690625</v>
      </c>
      <c r="P59" s="81">
        <f t="shared" si="3"/>
        <v>38.449687499999996</v>
      </c>
      <c r="Q59" s="81">
        <f t="shared" si="3"/>
        <v>40.930312499999992</v>
      </c>
      <c r="R59" s="81">
        <f t="shared" si="3"/>
        <v>0</v>
      </c>
      <c r="S59" s="81">
        <f t="shared" si="3"/>
        <v>0</v>
      </c>
      <c r="T59" s="81">
        <f t="shared" si="3"/>
        <v>0</v>
      </c>
      <c r="U59" s="82">
        <f t="shared" si="4"/>
        <v>327.4425</v>
      </c>
    </row>
    <row r="60" spans="1:23" outlineLevel="1" x14ac:dyDescent="0.25">
      <c r="D60" s="77">
        <v>2.75</v>
      </c>
      <c r="E60" s="81">
        <f t="shared" si="3"/>
        <v>0</v>
      </c>
      <c r="F60" s="81">
        <f t="shared" si="3"/>
        <v>20.380937499999998</v>
      </c>
      <c r="G60" s="81">
        <f t="shared" si="3"/>
        <v>24.086562499999999</v>
      </c>
      <c r="H60" s="81">
        <f t="shared" si="3"/>
        <v>27.792187499999997</v>
      </c>
      <c r="I60" s="81">
        <f t="shared" si="3"/>
        <v>31.497812500000002</v>
      </c>
      <c r="J60" s="81">
        <f t="shared" si="3"/>
        <v>35.2034375</v>
      </c>
      <c r="K60" s="81">
        <f t="shared" si="3"/>
        <v>38.909062499999997</v>
      </c>
      <c r="L60" s="81">
        <f t="shared" si="3"/>
        <v>42.614687499999995</v>
      </c>
      <c r="M60" s="81">
        <f t="shared" si="3"/>
        <v>46.3203125</v>
      </c>
      <c r="N60" s="81">
        <f t="shared" si="3"/>
        <v>50.025937500000005</v>
      </c>
      <c r="O60" s="81">
        <f t="shared" si="3"/>
        <v>53.731562499999995</v>
      </c>
      <c r="P60" s="81">
        <f t="shared" si="3"/>
        <v>57.4371875</v>
      </c>
      <c r="Q60" s="81">
        <f t="shared" si="3"/>
        <v>0</v>
      </c>
      <c r="R60" s="81">
        <f t="shared" si="3"/>
        <v>0</v>
      </c>
      <c r="S60" s="81">
        <f t="shared" si="3"/>
        <v>0</v>
      </c>
      <c r="T60" s="81">
        <f t="shared" si="3"/>
        <v>0</v>
      </c>
      <c r="U60" s="82">
        <f t="shared" si="4"/>
        <v>427.99968749999999</v>
      </c>
    </row>
    <row r="61" spans="1:23" outlineLevel="1" x14ac:dyDescent="0.25">
      <c r="D61" s="77">
        <v>3.25</v>
      </c>
      <c r="E61" s="81">
        <f t="shared" si="3"/>
        <v>0</v>
      </c>
      <c r="F61" s="81">
        <f t="shared" si="3"/>
        <v>0</v>
      </c>
      <c r="G61" s="81">
        <f t="shared" si="3"/>
        <v>33.641562499999999</v>
      </c>
      <c r="H61" s="81">
        <f t="shared" si="3"/>
        <v>38.817187499999996</v>
      </c>
      <c r="I61" s="81">
        <f t="shared" si="3"/>
        <v>43.992812499999999</v>
      </c>
      <c r="J61" s="81">
        <f t="shared" si="3"/>
        <v>49.168437500000003</v>
      </c>
      <c r="K61" s="81">
        <f t="shared" si="3"/>
        <v>54.344062499999993</v>
      </c>
      <c r="L61" s="81">
        <f t="shared" si="3"/>
        <v>59.519687499999996</v>
      </c>
      <c r="M61" s="81">
        <f t="shared" si="3"/>
        <v>64.6953125</v>
      </c>
      <c r="N61" s="81">
        <f t="shared" si="3"/>
        <v>69.870937499999997</v>
      </c>
      <c r="O61" s="81">
        <f t="shared" si="3"/>
        <v>75.046562499999993</v>
      </c>
      <c r="P61" s="81">
        <f t="shared" si="3"/>
        <v>80.222187500000004</v>
      </c>
      <c r="Q61" s="81">
        <f t="shared" si="3"/>
        <v>0</v>
      </c>
      <c r="R61" s="81">
        <f t="shared" si="3"/>
        <v>0</v>
      </c>
      <c r="S61" s="81">
        <f t="shared" si="3"/>
        <v>0</v>
      </c>
      <c r="T61" s="81">
        <f t="shared" si="3"/>
        <v>0</v>
      </c>
      <c r="U61" s="82">
        <f t="shared" si="4"/>
        <v>569.31874999999991</v>
      </c>
    </row>
    <row r="62" spans="1:23" outlineLevel="1" x14ac:dyDescent="0.25">
      <c r="D62" s="77">
        <v>3.75</v>
      </c>
      <c r="E62" s="81">
        <f t="shared" si="3"/>
        <v>0</v>
      </c>
      <c r="F62" s="81">
        <f t="shared" si="3"/>
        <v>0</v>
      </c>
      <c r="G62" s="81">
        <f t="shared" si="3"/>
        <v>44.7890625</v>
      </c>
      <c r="H62" s="81">
        <f t="shared" si="3"/>
        <v>51.6796875</v>
      </c>
      <c r="I62" s="81">
        <f t="shared" si="3"/>
        <v>58.5703125</v>
      </c>
      <c r="J62" s="81">
        <f t="shared" si="3"/>
        <v>65.4609375</v>
      </c>
      <c r="K62" s="81">
        <f t="shared" si="3"/>
        <v>72.3515625</v>
      </c>
      <c r="L62" s="81">
        <f t="shared" si="3"/>
        <v>79.2421875</v>
      </c>
      <c r="M62" s="81">
        <f t="shared" si="3"/>
        <v>86.1328125</v>
      </c>
      <c r="N62" s="81">
        <f t="shared" si="3"/>
        <v>93.0234375</v>
      </c>
      <c r="O62" s="81">
        <f t="shared" si="3"/>
        <v>99.9140625</v>
      </c>
      <c r="P62" s="81">
        <f t="shared" si="3"/>
        <v>106.8046875</v>
      </c>
      <c r="Q62" s="81">
        <f t="shared" si="3"/>
        <v>0</v>
      </c>
      <c r="R62" s="81">
        <f t="shared" si="3"/>
        <v>0</v>
      </c>
      <c r="S62" s="81">
        <f t="shared" si="3"/>
        <v>0</v>
      </c>
      <c r="T62" s="81">
        <f t="shared" si="3"/>
        <v>0</v>
      </c>
      <c r="U62" s="82">
        <f t="shared" si="4"/>
        <v>757.96875</v>
      </c>
    </row>
    <row r="63" spans="1:23" outlineLevel="1" x14ac:dyDescent="0.25">
      <c r="D63" s="77">
        <v>4.25</v>
      </c>
      <c r="E63" s="81">
        <f t="shared" si="3"/>
        <v>0</v>
      </c>
      <c r="F63" s="81">
        <f t="shared" si="3"/>
        <v>0</v>
      </c>
      <c r="G63" s="81">
        <f t="shared" si="3"/>
        <v>0</v>
      </c>
      <c r="H63" s="81">
        <f t="shared" si="3"/>
        <v>66.379687500000003</v>
      </c>
      <c r="I63" s="81">
        <f t="shared" si="3"/>
        <v>75.230312499999997</v>
      </c>
      <c r="J63" s="81">
        <f t="shared" si="3"/>
        <v>84.080937500000005</v>
      </c>
      <c r="K63" s="81">
        <f t="shared" si="3"/>
        <v>92.931562499999998</v>
      </c>
      <c r="L63" s="81">
        <f t="shared" si="3"/>
        <v>101.78218749999999</v>
      </c>
      <c r="M63" s="81">
        <f t="shared" si="3"/>
        <v>110.6328125</v>
      </c>
      <c r="N63" s="81">
        <f t="shared" si="3"/>
        <v>119.48343750000001</v>
      </c>
      <c r="O63" s="81">
        <f t="shared" si="3"/>
        <v>128.33406249999999</v>
      </c>
      <c r="P63" s="81">
        <f t="shared" si="3"/>
        <v>137.1846875</v>
      </c>
      <c r="Q63" s="81">
        <f t="shared" si="3"/>
        <v>146.03531249999997</v>
      </c>
      <c r="R63" s="81">
        <f t="shared" si="3"/>
        <v>0</v>
      </c>
      <c r="S63" s="81">
        <f t="shared" si="3"/>
        <v>0</v>
      </c>
      <c r="T63" s="81">
        <f t="shared" si="3"/>
        <v>0</v>
      </c>
      <c r="U63" s="82">
        <f t="shared" si="4"/>
        <v>1062.075</v>
      </c>
    </row>
    <row r="64" spans="1:23" outlineLevel="1" x14ac:dyDescent="0.25">
      <c r="D64" s="77">
        <v>4.75</v>
      </c>
      <c r="E64" s="81">
        <f t="shared" si="3"/>
        <v>0</v>
      </c>
      <c r="F64" s="81">
        <f t="shared" si="3"/>
        <v>0</v>
      </c>
      <c r="G64" s="81">
        <f t="shared" si="3"/>
        <v>0</v>
      </c>
      <c r="H64" s="81">
        <f t="shared" si="3"/>
        <v>0</v>
      </c>
      <c r="I64" s="81">
        <f t="shared" si="3"/>
        <v>93.972812500000003</v>
      </c>
      <c r="J64" s="81">
        <f t="shared" si="3"/>
        <v>105.02843750000001</v>
      </c>
      <c r="K64" s="81">
        <f t="shared" si="3"/>
        <v>116.08406249999999</v>
      </c>
      <c r="L64" s="81">
        <f t="shared" si="3"/>
        <v>127.13968749999999</v>
      </c>
      <c r="M64" s="81">
        <f t="shared" si="3"/>
        <v>138.1953125</v>
      </c>
      <c r="N64" s="81">
        <f t="shared" si="3"/>
        <v>149.25093749999999</v>
      </c>
      <c r="O64" s="81">
        <f t="shared" si="3"/>
        <v>160.30656249999998</v>
      </c>
      <c r="P64" s="81">
        <f t="shared" si="3"/>
        <v>171.3621875</v>
      </c>
      <c r="Q64" s="81">
        <f t="shared" si="3"/>
        <v>182.41781249999997</v>
      </c>
      <c r="R64" s="81">
        <f t="shared" si="3"/>
        <v>0</v>
      </c>
      <c r="S64" s="81">
        <f t="shared" si="3"/>
        <v>0</v>
      </c>
      <c r="T64" s="81">
        <f t="shared" si="3"/>
        <v>0</v>
      </c>
      <c r="U64" s="82">
        <f t="shared" si="4"/>
        <v>1243.7578124999995</v>
      </c>
    </row>
    <row r="65" spans="1:21" outlineLevel="1" x14ac:dyDescent="0.25">
      <c r="D65" s="77">
        <v>5.25</v>
      </c>
      <c r="E65" s="81">
        <f t="shared" si="3"/>
        <v>0</v>
      </c>
      <c r="F65" s="81">
        <f t="shared" si="3"/>
        <v>0</v>
      </c>
      <c r="G65" s="81">
        <f t="shared" si="3"/>
        <v>0</v>
      </c>
      <c r="H65" s="81">
        <f t="shared" si="3"/>
        <v>0</v>
      </c>
      <c r="I65" s="81">
        <f t="shared" si="3"/>
        <v>0</v>
      </c>
      <c r="J65" s="81">
        <f t="shared" si="3"/>
        <v>128.3034375</v>
      </c>
      <c r="K65" s="81">
        <f t="shared" si="3"/>
        <v>141.80906249999998</v>
      </c>
      <c r="L65" s="81">
        <f t="shared" si="3"/>
        <v>155.31468749999999</v>
      </c>
      <c r="M65" s="81">
        <f t="shared" si="3"/>
        <v>168.8203125</v>
      </c>
      <c r="N65" s="81">
        <f t="shared" si="3"/>
        <v>182.32593750000001</v>
      </c>
      <c r="O65" s="81">
        <f t="shared" si="3"/>
        <v>195.83156249999999</v>
      </c>
      <c r="P65" s="81">
        <f t="shared" si="3"/>
        <v>209.3371875</v>
      </c>
      <c r="Q65" s="81">
        <f t="shared" si="3"/>
        <v>222.84281249999998</v>
      </c>
      <c r="R65" s="81">
        <f t="shared" si="3"/>
        <v>0</v>
      </c>
      <c r="S65" s="81">
        <f t="shared" si="3"/>
        <v>0</v>
      </c>
      <c r="T65" s="81">
        <f t="shared" si="3"/>
        <v>0</v>
      </c>
      <c r="U65" s="82">
        <f t="shared" si="4"/>
        <v>1404.585</v>
      </c>
    </row>
    <row r="66" spans="1:21" outlineLevel="1" x14ac:dyDescent="0.25">
      <c r="D66" s="77">
        <v>5.75</v>
      </c>
      <c r="E66" s="81">
        <f t="shared" si="3"/>
        <v>0</v>
      </c>
      <c r="F66" s="81">
        <f t="shared" si="3"/>
        <v>0</v>
      </c>
      <c r="G66" s="81">
        <f t="shared" si="3"/>
        <v>0</v>
      </c>
      <c r="H66" s="81">
        <f t="shared" si="3"/>
        <v>0</v>
      </c>
      <c r="I66" s="81">
        <f t="shared" si="3"/>
        <v>0</v>
      </c>
      <c r="J66" s="81">
        <f t="shared" si="3"/>
        <v>153.90593750000002</v>
      </c>
      <c r="K66" s="81">
        <f t="shared" si="3"/>
        <v>170.1065625</v>
      </c>
      <c r="L66" s="81">
        <f t="shared" si="3"/>
        <v>186.3071875</v>
      </c>
      <c r="M66" s="81">
        <f t="shared" si="3"/>
        <v>202.5078125</v>
      </c>
      <c r="N66" s="81">
        <f t="shared" si="3"/>
        <v>218.7084375</v>
      </c>
      <c r="O66" s="81">
        <f t="shared" si="3"/>
        <v>234.90906249999998</v>
      </c>
      <c r="P66" s="81">
        <f t="shared" si="3"/>
        <v>251.10968749999998</v>
      </c>
      <c r="Q66" s="81">
        <f t="shared" si="3"/>
        <v>267.31031249999995</v>
      </c>
      <c r="R66" s="81">
        <f t="shared" si="3"/>
        <v>0</v>
      </c>
      <c r="S66" s="81">
        <f t="shared" si="3"/>
        <v>0</v>
      </c>
      <c r="T66" s="81">
        <f t="shared" si="3"/>
        <v>0</v>
      </c>
      <c r="U66" s="82">
        <f t="shared" si="4"/>
        <v>1684.865</v>
      </c>
    </row>
    <row r="67" spans="1:21" outlineLevel="1" x14ac:dyDescent="0.25">
      <c r="D67" s="77">
        <v>6.25</v>
      </c>
      <c r="E67" s="81">
        <f t="shared" si="3"/>
        <v>0</v>
      </c>
      <c r="F67" s="81">
        <f t="shared" si="3"/>
        <v>0</v>
      </c>
      <c r="G67" s="81">
        <f t="shared" si="3"/>
        <v>0</v>
      </c>
      <c r="H67" s="81">
        <f t="shared" si="3"/>
        <v>0</v>
      </c>
      <c r="I67" s="81">
        <f t="shared" si="3"/>
        <v>0</v>
      </c>
      <c r="J67" s="81">
        <f t="shared" si="3"/>
        <v>0</v>
      </c>
      <c r="K67" s="81">
        <f t="shared" si="3"/>
        <v>200.97656249999997</v>
      </c>
      <c r="L67" s="81">
        <f t="shared" si="3"/>
        <v>220.1171875</v>
      </c>
      <c r="M67" s="81">
        <f t="shared" si="3"/>
        <v>239.2578125</v>
      </c>
      <c r="N67" s="81">
        <f t="shared" si="3"/>
        <v>258.3984375</v>
      </c>
      <c r="O67" s="81">
        <f t="shared" si="3"/>
        <v>277.5390625</v>
      </c>
      <c r="P67" s="81">
        <f t="shared" si="3"/>
        <v>296.6796875</v>
      </c>
      <c r="Q67" s="81">
        <f t="shared" si="3"/>
        <v>0</v>
      </c>
      <c r="R67" s="81">
        <f t="shared" si="3"/>
        <v>0</v>
      </c>
      <c r="S67" s="81">
        <f t="shared" si="3"/>
        <v>0</v>
      </c>
      <c r="T67" s="81">
        <f t="shared" si="3"/>
        <v>0</v>
      </c>
      <c r="U67" s="82">
        <f t="shared" si="4"/>
        <v>1492.96875</v>
      </c>
    </row>
    <row r="68" spans="1:21" outlineLevel="1" x14ac:dyDescent="0.25">
      <c r="D68" s="77">
        <v>6.75</v>
      </c>
      <c r="E68" s="81">
        <f t="shared" si="3"/>
        <v>0</v>
      </c>
      <c r="F68" s="81">
        <f t="shared" si="3"/>
        <v>0</v>
      </c>
      <c r="G68" s="81">
        <f t="shared" si="3"/>
        <v>0</v>
      </c>
      <c r="H68" s="81">
        <f t="shared" si="3"/>
        <v>0</v>
      </c>
      <c r="I68" s="81">
        <f t="shared" si="3"/>
        <v>0</v>
      </c>
      <c r="J68" s="81">
        <f t="shared" si="3"/>
        <v>0</v>
      </c>
      <c r="K68" s="81">
        <f t="shared" si="3"/>
        <v>0</v>
      </c>
      <c r="L68" s="81">
        <f t="shared" si="3"/>
        <v>0</v>
      </c>
      <c r="M68" s="81">
        <f t="shared" si="3"/>
        <v>279.0703125</v>
      </c>
      <c r="N68" s="81">
        <f t="shared" si="3"/>
        <v>301.3959375</v>
      </c>
      <c r="O68" s="81">
        <f t="shared" si="3"/>
        <v>323.7215625</v>
      </c>
      <c r="P68" s="81">
        <f t="shared" si="3"/>
        <v>346.04718750000001</v>
      </c>
      <c r="Q68" s="81">
        <f t="shared" si="3"/>
        <v>0</v>
      </c>
      <c r="R68" s="81">
        <f t="shared" si="3"/>
        <v>0</v>
      </c>
      <c r="S68" s="81">
        <f t="shared" si="3"/>
        <v>0</v>
      </c>
      <c r="T68" s="81">
        <f t="shared" si="3"/>
        <v>0</v>
      </c>
      <c r="U68" s="82">
        <f t="shared" si="4"/>
        <v>1250.2349999999999</v>
      </c>
    </row>
    <row r="69" spans="1:21" outlineLevel="1" x14ac:dyDescent="0.25">
      <c r="D69" s="77">
        <v>7.25</v>
      </c>
      <c r="E69" s="81">
        <f t="shared" si="3"/>
        <v>0</v>
      </c>
      <c r="F69" s="81">
        <f t="shared" si="3"/>
        <v>0</v>
      </c>
      <c r="G69" s="81">
        <f t="shared" si="3"/>
        <v>0</v>
      </c>
      <c r="H69" s="81">
        <f t="shared" si="3"/>
        <v>0</v>
      </c>
      <c r="I69" s="81">
        <f t="shared" si="3"/>
        <v>0</v>
      </c>
      <c r="J69" s="81">
        <f t="shared" si="3"/>
        <v>0</v>
      </c>
      <c r="K69" s="81">
        <f t="shared" si="3"/>
        <v>0</v>
      </c>
      <c r="L69" s="81">
        <f t="shared" si="3"/>
        <v>296.18968749999999</v>
      </c>
      <c r="M69" s="81">
        <f t="shared" si="3"/>
        <v>321.9453125</v>
      </c>
      <c r="N69" s="81">
        <f t="shared" si="3"/>
        <v>347.70093750000001</v>
      </c>
      <c r="O69" s="81">
        <f t="shared" si="3"/>
        <v>373.45656249999996</v>
      </c>
      <c r="P69" s="81">
        <f t="shared" si="3"/>
        <v>399.21218749999997</v>
      </c>
      <c r="Q69" s="81">
        <f t="shared" si="3"/>
        <v>0</v>
      </c>
      <c r="R69" s="81">
        <f t="shared" si="3"/>
        <v>0</v>
      </c>
      <c r="S69" s="81">
        <f t="shared" si="3"/>
        <v>0</v>
      </c>
      <c r="T69" s="81">
        <f t="shared" si="3"/>
        <v>0</v>
      </c>
      <c r="U69" s="82">
        <f t="shared" si="4"/>
        <v>1738.5046875</v>
      </c>
    </row>
    <row r="70" spans="1:21" outlineLevel="1" x14ac:dyDescent="0.25">
      <c r="D70" s="77">
        <v>7.75</v>
      </c>
      <c r="E70" s="81">
        <f t="shared" si="3"/>
        <v>0</v>
      </c>
      <c r="F70" s="81">
        <f t="shared" si="3"/>
        <v>0</v>
      </c>
      <c r="G70" s="81">
        <f t="shared" si="3"/>
        <v>0</v>
      </c>
      <c r="H70" s="81">
        <f t="shared" si="3"/>
        <v>0</v>
      </c>
      <c r="I70" s="81">
        <f t="shared" si="3"/>
        <v>0</v>
      </c>
      <c r="J70" s="81">
        <f t="shared" si="3"/>
        <v>0</v>
      </c>
      <c r="K70" s="81">
        <f t="shared" si="3"/>
        <v>0</v>
      </c>
      <c r="L70" s="81">
        <f t="shared" si="3"/>
        <v>0</v>
      </c>
      <c r="M70" s="81">
        <f t="shared" si="3"/>
        <v>0</v>
      </c>
      <c r="N70" s="81">
        <f t="shared" si="3"/>
        <v>397.31343750000002</v>
      </c>
      <c r="O70" s="81">
        <f t="shared" si="3"/>
        <v>426.74406249999998</v>
      </c>
      <c r="P70" s="81">
        <f t="shared" si="3"/>
        <v>0</v>
      </c>
      <c r="Q70" s="81">
        <f t="shared" si="3"/>
        <v>0</v>
      </c>
      <c r="R70" s="81">
        <f t="shared" si="3"/>
        <v>0</v>
      </c>
      <c r="S70" s="81">
        <f t="shared" si="3"/>
        <v>0</v>
      </c>
      <c r="T70" s="81">
        <f t="shared" si="3"/>
        <v>0</v>
      </c>
      <c r="U70" s="82">
        <f t="shared" si="4"/>
        <v>824.0575</v>
      </c>
    </row>
    <row r="71" spans="1:21" outlineLevel="1" x14ac:dyDescent="0.25">
      <c r="D71" s="77">
        <v>8.25</v>
      </c>
      <c r="E71" s="81">
        <f t="shared" si="3"/>
        <v>0</v>
      </c>
      <c r="F71" s="81">
        <f t="shared" si="3"/>
        <v>0</v>
      </c>
      <c r="G71" s="81">
        <f t="shared" si="3"/>
        <v>0</v>
      </c>
      <c r="H71" s="81">
        <f t="shared" si="3"/>
        <v>0</v>
      </c>
      <c r="I71" s="81">
        <f t="shared" si="3"/>
        <v>0</v>
      </c>
      <c r="J71" s="81">
        <f t="shared" si="3"/>
        <v>0</v>
      </c>
      <c r="K71" s="81">
        <f t="shared" si="3"/>
        <v>0</v>
      </c>
      <c r="L71" s="81">
        <f t="shared" si="3"/>
        <v>0</v>
      </c>
      <c r="M71" s="81">
        <f t="shared" si="3"/>
        <v>0</v>
      </c>
      <c r="N71" s="81">
        <f t="shared" si="3"/>
        <v>0</v>
      </c>
      <c r="O71" s="81">
        <f t="shared" si="3"/>
        <v>483.58406249999996</v>
      </c>
      <c r="P71" s="81">
        <f t="shared" si="3"/>
        <v>0</v>
      </c>
      <c r="Q71" s="81">
        <f t="shared" si="3"/>
        <v>0</v>
      </c>
      <c r="R71" s="81">
        <f t="shared" si="3"/>
        <v>0</v>
      </c>
      <c r="S71" s="81">
        <f t="shared" si="3"/>
        <v>0</v>
      </c>
      <c r="T71" s="81">
        <f t="shared" ref="F71:T74" si="5">IF(T46&gt;0,0.49*T$29*$D46^2,0)</f>
        <v>0</v>
      </c>
      <c r="U71" s="82">
        <f t="shared" si="4"/>
        <v>483.58406249999996</v>
      </c>
    </row>
    <row r="72" spans="1:21" outlineLevel="1" x14ac:dyDescent="0.25">
      <c r="D72" s="77">
        <v>8.75</v>
      </c>
      <c r="E72" s="81">
        <f>IF(E47&gt;0,0.49*E$29*$D47^2,0)</f>
        <v>0</v>
      </c>
      <c r="F72" s="81">
        <f t="shared" si="5"/>
        <v>0</v>
      </c>
      <c r="G72" s="81">
        <f t="shared" si="5"/>
        <v>0</v>
      </c>
      <c r="H72" s="81">
        <f t="shared" si="5"/>
        <v>0</v>
      </c>
      <c r="I72" s="81">
        <f t="shared" si="5"/>
        <v>0</v>
      </c>
      <c r="J72" s="81">
        <f t="shared" si="5"/>
        <v>0</v>
      </c>
      <c r="K72" s="81">
        <f t="shared" si="5"/>
        <v>0</v>
      </c>
      <c r="L72" s="81">
        <f t="shared" si="5"/>
        <v>0</v>
      </c>
      <c r="M72" s="81">
        <f t="shared" si="5"/>
        <v>0</v>
      </c>
      <c r="N72" s="81">
        <f t="shared" si="5"/>
        <v>0</v>
      </c>
      <c r="O72" s="81">
        <f t="shared" si="5"/>
        <v>543.9765625</v>
      </c>
      <c r="P72" s="81">
        <f t="shared" si="5"/>
        <v>0</v>
      </c>
      <c r="Q72" s="81">
        <f t="shared" si="5"/>
        <v>0</v>
      </c>
      <c r="R72" s="81">
        <f t="shared" si="5"/>
        <v>0</v>
      </c>
      <c r="S72" s="81">
        <f t="shared" si="5"/>
        <v>0</v>
      </c>
      <c r="T72" s="81">
        <f t="shared" si="5"/>
        <v>0</v>
      </c>
      <c r="U72" s="82">
        <f t="shared" si="4"/>
        <v>543.9765625</v>
      </c>
    </row>
    <row r="73" spans="1:21" outlineLevel="1" x14ac:dyDescent="0.25">
      <c r="D73" s="77">
        <v>9.25</v>
      </c>
      <c r="E73" s="81">
        <f>IF(E48&gt;0,0.49*E$29*$D48^2,0)</f>
        <v>0</v>
      </c>
      <c r="F73" s="81">
        <f t="shared" si="5"/>
        <v>0</v>
      </c>
      <c r="G73" s="81">
        <f t="shared" si="5"/>
        <v>0</v>
      </c>
      <c r="H73" s="81">
        <f t="shared" si="5"/>
        <v>0</v>
      </c>
      <c r="I73" s="81">
        <f t="shared" si="5"/>
        <v>0</v>
      </c>
      <c r="J73" s="81">
        <f t="shared" si="5"/>
        <v>0</v>
      </c>
      <c r="K73" s="81">
        <f t="shared" si="5"/>
        <v>0</v>
      </c>
      <c r="L73" s="81">
        <f t="shared" si="5"/>
        <v>0</v>
      </c>
      <c r="M73" s="81">
        <f t="shared" si="5"/>
        <v>0</v>
      </c>
      <c r="N73" s="81">
        <f t="shared" si="5"/>
        <v>0</v>
      </c>
      <c r="O73" s="81">
        <f t="shared" si="5"/>
        <v>0</v>
      </c>
      <c r="P73" s="81">
        <f t="shared" si="5"/>
        <v>0</v>
      </c>
      <c r="Q73" s="81">
        <f t="shared" si="5"/>
        <v>0</v>
      </c>
      <c r="R73" s="81">
        <f t="shared" si="5"/>
        <v>0</v>
      </c>
      <c r="S73" s="81">
        <f t="shared" si="5"/>
        <v>0</v>
      </c>
      <c r="T73" s="81">
        <f t="shared" si="5"/>
        <v>0</v>
      </c>
      <c r="U73" s="82">
        <f t="shared" si="4"/>
        <v>0</v>
      </c>
    </row>
    <row r="74" spans="1:21" outlineLevel="1" x14ac:dyDescent="0.25">
      <c r="D74" s="77">
        <v>9.75</v>
      </c>
      <c r="E74" s="81">
        <f>IF(E49&gt;0,0.49*E$29*$D49^2,0)</f>
        <v>0</v>
      </c>
      <c r="F74" s="81">
        <f t="shared" si="5"/>
        <v>0</v>
      </c>
      <c r="G74" s="81">
        <f t="shared" si="5"/>
        <v>0</v>
      </c>
      <c r="H74" s="81">
        <f t="shared" si="5"/>
        <v>0</v>
      </c>
      <c r="I74" s="81">
        <f t="shared" si="5"/>
        <v>0</v>
      </c>
      <c r="J74" s="81">
        <f t="shared" si="5"/>
        <v>0</v>
      </c>
      <c r="K74" s="81">
        <f t="shared" si="5"/>
        <v>0</v>
      </c>
      <c r="L74" s="81">
        <f t="shared" si="5"/>
        <v>0</v>
      </c>
      <c r="M74" s="81">
        <f t="shared" si="5"/>
        <v>0</v>
      </c>
      <c r="N74" s="81">
        <f t="shared" si="5"/>
        <v>0</v>
      </c>
      <c r="O74" s="81">
        <f t="shared" si="5"/>
        <v>0</v>
      </c>
      <c r="P74" s="81">
        <f t="shared" si="5"/>
        <v>0</v>
      </c>
      <c r="Q74" s="81">
        <f t="shared" si="5"/>
        <v>0</v>
      </c>
      <c r="R74" s="81">
        <f t="shared" si="5"/>
        <v>0</v>
      </c>
      <c r="S74" s="81">
        <f t="shared" si="5"/>
        <v>0</v>
      </c>
      <c r="T74" s="81">
        <f t="shared" si="5"/>
        <v>0</v>
      </c>
      <c r="U74" s="82">
        <f t="shared" si="4"/>
        <v>0</v>
      </c>
    </row>
    <row r="75" spans="1:21" outlineLevel="1" x14ac:dyDescent="0.25">
      <c r="E75" s="82">
        <f>SUM(E55:E74)</f>
        <v>3.4453125</v>
      </c>
      <c r="F75" s="82">
        <f t="shared" ref="F75:T75" si="6">SUM(F55:F74)</f>
        <v>48.004687499999996</v>
      </c>
      <c r="G75" s="82">
        <f t="shared" si="6"/>
        <v>135.16343749999999</v>
      </c>
      <c r="H75" s="82">
        <f t="shared" si="6"/>
        <v>222.33749999999998</v>
      </c>
      <c r="I75" s="82">
        <f t="shared" si="6"/>
        <v>345.95531249999999</v>
      </c>
      <c r="J75" s="82">
        <f t="shared" si="6"/>
        <v>668.86531250000007</v>
      </c>
      <c r="K75" s="82">
        <f t="shared" si="6"/>
        <v>940.24874999999997</v>
      </c>
      <c r="L75" s="82">
        <f t="shared" si="6"/>
        <v>1325.9859375000001</v>
      </c>
      <c r="M75" s="82">
        <f t="shared" si="6"/>
        <v>1716.9140625</v>
      </c>
      <c r="N75" s="82">
        <f t="shared" si="6"/>
        <v>2244.9656249999998</v>
      </c>
      <c r="O75" s="82">
        <f t="shared" si="6"/>
        <v>3413.0643749999999</v>
      </c>
      <c r="P75" s="82">
        <f t="shared" si="6"/>
        <v>2098.1187500000001</v>
      </c>
      <c r="Q75" s="82">
        <f t="shared" si="6"/>
        <v>872.16937499999995</v>
      </c>
      <c r="R75" s="82">
        <f t="shared" si="6"/>
        <v>39.659374999999997</v>
      </c>
      <c r="S75" s="82">
        <f t="shared" si="6"/>
        <v>0</v>
      </c>
      <c r="T75" s="82">
        <f t="shared" si="6"/>
        <v>0</v>
      </c>
    </row>
    <row r="76" spans="1:21" outlineLevel="1" x14ac:dyDescent="0.25">
      <c r="A76" s="45" t="s">
        <v>120</v>
      </c>
    </row>
    <row r="77" spans="1:21" outlineLevel="1" x14ac:dyDescent="0.25">
      <c r="A77" s="45"/>
      <c r="E77" s="43" t="s">
        <v>117</v>
      </c>
    </row>
    <row r="78" spans="1:21" outlineLevel="1" x14ac:dyDescent="0.25">
      <c r="D78" s="75"/>
      <c r="E78" s="76">
        <v>4.5</v>
      </c>
      <c r="F78" s="76">
        <v>5.5</v>
      </c>
      <c r="G78" s="76">
        <v>6.5</v>
      </c>
      <c r="H78" s="76">
        <v>7.5</v>
      </c>
      <c r="I78" s="76">
        <v>8.5</v>
      </c>
      <c r="J78" s="76">
        <v>9.5</v>
      </c>
      <c r="K78" s="76">
        <v>10.5</v>
      </c>
      <c r="L78" s="76">
        <v>11.5</v>
      </c>
      <c r="M78" s="76">
        <v>12.5</v>
      </c>
      <c r="N78" s="76">
        <v>13.5</v>
      </c>
      <c r="O78" s="76">
        <v>14.5</v>
      </c>
      <c r="P78" s="76">
        <v>15.5</v>
      </c>
      <c r="Q78" s="76">
        <v>16.5</v>
      </c>
      <c r="R78" s="76">
        <v>17.5</v>
      </c>
      <c r="S78" s="76">
        <v>18.5</v>
      </c>
      <c r="T78" s="76">
        <v>19.5</v>
      </c>
    </row>
    <row r="79" spans="1:21" outlineLevel="1" x14ac:dyDescent="0.25">
      <c r="C79" s="43" t="s">
        <v>118</v>
      </c>
      <c r="D79" s="77">
        <v>0.25</v>
      </c>
      <c r="E79" s="83">
        <f ca="1">'Performance Matrices'!D16/1000</f>
        <v>0.35805099652815098</v>
      </c>
      <c r="F79" s="83">
        <f ca="1">'Performance Matrices'!E16/1000</f>
        <v>0.48110514063447402</v>
      </c>
      <c r="G79" s="83">
        <f ca="1">'Performance Matrices'!F16/1000</f>
        <v>0.60415928474079805</v>
      </c>
      <c r="H79" s="83">
        <f ca="1">'Performance Matrices'!G16/1000</f>
        <v>0.63068311057486104</v>
      </c>
      <c r="I79" s="83">
        <f ca="1">'Performance Matrices'!H16/1000</f>
        <v>0.65720693640892502</v>
      </c>
      <c r="J79" s="83">
        <f ca="1">'Performance Matrices'!I16/1000</f>
        <v>0.62850910352049705</v>
      </c>
      <c r="K79" s="83">
        <f ca="1">'Performance Matrices'!J16/1000</f>
        <v>0.59981127063206796</v>
      </c>
      <c r="L79" s="83">
        <f ca="1">'Performance Matrices'!K16/1000</f>
        <v>0.60278142820352199</v>
      </c>
      <c r="M79" s="83">
        <f ca="1">'Performance Matrices'!L16/1000</f>
        <v>0.60575158577497601</v>
      </c>
      <c r="N79" s="83">
        <f ca="1">'Performance Matrices'!M16/1000</f>
        <v>0.57170830752130297</v>
      </c>
      <c r="O79" s="83">
        <f ca="1">'Performance Matrices'!N16/1000</f>
        <v>0.53766502926762905</v>
      </c>
      <c r="P79" s="83">
        <f ca="1">'Performance Matrices'!O16/1000</f>
        <v>0.49095339586724901</v>
      </c>
      <c r="Q79" s="83">
        <f ca="1">'Performance Matrices'!P16/1000</f>
        <v>0.44424176246686897</v>
      </c>
      <c r="R79" s="83">
        <f ca="1">'Performance Matrices'!Q16/1000</f>
        <v>0.40801359625365202</v>
      </c>
      <c r="S79" s="83">
        <f ca="1">'Performance Matrices'!R16/1000</f>
        <v>0.37178543004043602</v>
      </c>
      <c r="T79" s="83">
        <f ca="1">'Performance Matrices'!S16/1000</f>
        <v>0</v>
      </c>
    </row>
    <row r="80" spans="1:21" outlineLevel="1" x14ac:dyDescent="0.25">
      <c r="D80" s="77">
        <v>0.75</v>
      </c>
      <c r="E80" s="83">
        <f ca="1">'Performance Matrices'!D17/1000</f>
        <v>5.6609649862831599</v>
      </c>
      <c r="F80" s="83">
        <f ca="1">'Performance Matrices'!E17/1000</f>
        <v>6.7564387812789999</v>
      </c>
      <c r="G80" s="83">
        <f ca="1">'Performance Matrices'!F17/1000</f>
        <v>7.8519125762748496</v>
      </c>
      <c r="H80" s="83">
        <f ca="1">'Performance Matrices'!G17/1000</f>
        <v>8.2056637642147496</v>
      </c>
      <c r="I80" s="83">
        <f ca="1">'Performance Matrices'!H17/1000</f>
        <v>8.5594149521546594</v>
      </c>
      <c r="J80" s="83">
        <f ca="1">'Performance Matrices'!I17/1000</f>
        <v>8.5793383063637396</v>
      </c>
      <c r="K80" s="83">
        <f ca="1">'Performance Matrices'!J17/1000</f>
        <v>8.5992616605728198</v>
      </c>
      <c r="L80" s="83">
        <f ca="1">'Performance Matrices'!K17/1000</f>
        <v>8.3592931367564791</v>
      </c>
      <c r="M80" s="83">
        <f ca="1">'Performance Matrices'!L17/1000</f>
        <v>8.1193246129401295</v>
      </c>
      <c r="N80" s="83">
        <f ca="1">'Performance Matrices'!M17/1000</f>
        <v>7.6844194592487796</v>
      </c>
      <c r="O80" s="83">
        <f ca="1">'Performance Matrices'!N17/1000</f>
        <v>7.2495143055574296</v>
      </c>
      <c r="P80" s="83">
        <f ca="1">'Performance Matrices'!O17/1000</f>
        <v>6.4168717176617198</v>
      </c>
      <c r="Q80" s="83">
        <f ca="1">'Performance Matrices'!P17/1000</f>
        <v>5.58422912976601</v>
      </c>
      <c r="R80" s="83">
        <f ca="1">'Performance Matrices'!Q17/1000</f>
        <v>4.8350828903960998</v>
      </c>
      <c r="S80" s="83">
        <f ca="1">'Performance Matrices'!R17/1000</f>
        <v>4.0859366510261799</v>
      </c>
      <c r="T80" s="83">
        <f ca="1">'Performance Matrices'!S17/1000</f>
        <v>0</v>
      </c>
    </row>
    <row r="81" spans="4:20" outlineLevel="1" x14ac:dyDescent="0.25">
      <c r="D81" s="77">
        <v>1.25</v>
      </c>
      <c r="E81" s="83">
        <f ca="1">'Performance Matrices'!D18/1000</f>
        <v>10.963878976038201</v>
      </c>
      <c r="F81" s="83">
        <f ca="1">'Performance Matrices'!E18/1000</f>
        <v>13.031772421923501</v>
      </c>
      <c r="G81" s="83">
        <f ca="1">'Performance Matrices'!F18/1000</f>
        <v>15.0996658678089</v>
      </c>
      <c r="H81" s="83">
        <f ca="1">'Performance Matrices'!G18/1000</f>
        <v>15.780644417854599</v>
      </c>
      <c r="I81" s="83">
        <f ca="1">'Performance Matrices'!H18/1000</f>
        <v>16.4616229679004</v>
      </c>
      <c r="J81" s="83">
        <f ca="1">'Performance Matrices'!I18/1000</f>
        <v>16.530167509207001</v>
      </c>
      <c r="K81" s="83">
        <f ca="1">'Performance Matrices'!J18/1000</f>
        <v>16.598712050513601</v>
      </c>
      <c r="L81" s="83">
        <f ca="1">'Performance Matrices'!K18/1000</f>
        <v>16.115804845309398</v>
      </c>
      <c r="M81" s="83">
        <f ca="1">'Performance Matrices'!L18/1000</f>
        <v>15.6328976401053</v>
      </c>
      <c r="N81" s="83">
        <f ca="1">'Performance Matrices'!M18/1000</f>
        <v>14.7971306109763</v>
      </c>
      <c r="O81" s="83">
        <f ca="1">'Performance Matrices'!N18/1000</f>
        <v>13.9613635818472</v>
      </c>
      <c r="P81" s="83">
        <f ca="1">'Performance Matrices'!O18/1000</f>
        <v>12.342790039456199</v>
      </c>
      <c r="Q81" s="83">
        <f ca="1">'Performance Matrices'!P18/1000</f>
        <v>10.7242164970652</v>
      </c>
      <c r="R81" s="83">
        <f ca="1">'Performance Matrices'!Q18/1000</f>
        <v>9.2621521845385395</v>
      </c>
      <c r="S81" s="83">
        <f ca="1">'Performance Matrices'!R18/1000</f>
        <v>7.8000878720119298</v>
      </c>
      <c r="T81" s="83">
        <f ca="1">'Performance Matrices'!S18/1000</f>
        <v>0</v>
      </c>
    </row>
    <row r="82" spans="4:20" outlineLevel="1" x14ac:dyDescent="0.25">
      <c r="D82" s="77">
        <v>1.75</v>
      </c>
      <c r="E82" s="83">
        <f ca="1">'Performance Matrices'!D19/1000</f>
        <v>21.814064305467699</v>
      </c>
      <c r="F82" s="83">
        <f ca="1">'Performance Matrices'!E19/1000</f>
        <v>26.770610747001601</v>
      </c>
      <c r="G82" s="83">
        <f ca="1">'Performance Matrices'!F19/1000</f>
        <v>31.7271571885355</v>
      </c>
      <c r="H82" s="83">
        <f ca="1">'Performance Matrices'!G19/1000</f>
        <v>33.389877372544298</v>
      </c>
      <c r="I82" s="83">
        <f ca="1">'Performance Matrices'!H19/1000</f>
        <v>35.052597556553003</v>
      </c>
      <c r="J82" s="83">
        <f ca="1">'Performance Matrices'!I19/1000</f>
        <v>35.051493042639997</v>
      </c>
      <c r="K82" s="83">
        <f ca="1">'Performance Matrices'!J19/1000</f>
        <v>35.050388528726899</v>
      </c>
      <c r="L82" s="83">
        <f ca="1">'Performance Matrices'!K19/1000</f>
        <v>31.675890052462801</v>
      </c>
      <c r="M82" s="83">
        <f ca="1">'Performance Matrices'!L19/1000</f>
        <v>28.301391576198601</v>
      </c>
      <c r="N82" s="83">
        <f ca="1">'Performance Matrices'!M19/1000</f>
        <v>28.231179153598099</v>
      </c>
      <c r="O82" s="83">
        <f ca="1">'Performance Matrices'!N19/1000</f>
        <v>28.1609667309977</v>
      </c>
      <c r="P82" s="83">
        <f ca="1">'Performance Matrices'!O19/1000</f>
        <v>23.275126162422801</v>
      </c>
      <c r="Q82" s="83">
        <f ca="1">'Performance Matrices'!P19/1000</f>
        <v>18.389285593848001</v>
      </c>
      <c r="R82" s="83">
        <f ca="1">'Performance Matrices'!Q19/1000</f>
        <v>18.467098860891198</v>
      </c>
      <c r="S82" s="83">
        <f ca="1">'Performance Matrices'!R19/1000</f>
        <v>18.544912127934399</v>
      </c>
      <c r="T82" s="83">
        <f ca="1">'Performance Matrices'!S19/1000</f>
        <v>0</v>
      </c>
    </row>
    <row r="83" spans="4:20" outlineLevel="1" x14ac:dyDescent="0.25">
      <c r="D83" s="77">
        <v>2.25</v>
      </c>
      <c r="E83" s="83">
        <f ca="1">'Performance Matrices'!D20/1000</f>
        <v>32.664249634897203</v>
      </c>
      <c r="F83" s="83">
        <f ca="1">'Performance Matrices'!E20/1000</f>
        <v>40.509449072079697</v>
      </c>
      <c r="G83" s="83">
        <f ca="1">'Performance Matrices'!F20/1000</f>
        <v>48.354648509262098</v>
      </c>
      <c r="H83" s="83">
        <f ca="1">'Performance Matrices'!G20/1000</f>
        <v>50.9991103272339</v>
      </c>
      <c r="I83" s="83">
        <f ca="1">'Performance Matrices'!H20/1000</f>
        <v>53.643572145205603</v>
      </c>
      <c r="J83" s="83">
        <f ca="1">'Performance Matrices'!I20/1000</f>
        <v>53.572818576072997</v>
      </c>
      <c r="K83" s="83">
        <f ca="1">'Performance Matrices'!J20/1000</f>
        <v>53.502065006940299</v>
      </c>
      <c r="L83" s="83">
        <f ca="1">'Performance Matrices'!K20/1000</f>
        <v>47.235975259616097</v>
      </c>
      <c r="M83" s="83">
        <f ca="1">'Performance Matrices'!L20/1000</f>
        <v>40.969885512292002</v>
      </c>
      <c r="N83" s="83">
        <f ca="1">'Performance Matrices'!M20/1000</f>
        <v>41.665227696220001</v>
      </c>
      <c r="O83" s="83">
        <f ca="1">'Performance Matrices'!N20/1000</f>
        <v>42.360569880148098</v>
      </c>
      <c r="P83" s="83">
        <f ca="1">'Performance Matrices'!O20/1000</f>
        <v>34.207462285389497</v>
      </c>
      <c r="Q83" s="83">
        <f ca="1">'Performance Matrices'!P20/1000</f>
        <v>26.054354690630898</v>
      </c>
      <c r="R83" s="83">
        <f ca="1">'Performance Matrices'!Q20/1000</f>
        <v>27.6720455372439</v>
      </c>
      <c r="S83" s="83">
        <f ca="1">'Performance Matrices'!R20/1000</f>
        <v>29.289736383857001</v>
      </c>
      <c r="T83" s="83">
        <f ca="1">'Performance Matrices'!S20/1000</f>
        <v>0</v>
      </c>
    </row>
    <row r="84" spans="4:20" outlineLevel="1" x14ac:dyDescent="0.25">
      <c r="D84" s="77">
        <v>2.75</v>
      </c>
      <c r="E84" s="83">
        <f ca="1">'Performance Matrices'!D21/1000</f>
        <v>49.240373766117699</v>
      </c>
      <c r="F84" s="83">
        <f ca="1">'Performance Matrices'!E21/1000</f>
        <v>62.262173129356803</v>
      </c>
      <c r="G84" s="83">
        <f ca="1">'Performance Matrices'!F21/1000</f>
        <v>75.283972492595893</v>
      </c>
      <c r="H84" s="83">
        <f ca="1">'Performance Matrices'!G21/1000</f>
        <v>73.970340777819899</v>
      </c>
      <c r="I84" s="83">
        <f ca="1">'Performance Matrices'!H21/1000</f>
        <v>72.656709063044005</v>
      </c>
      <c r="J84" s="83">
        <f ca="1">'Performance Matrices'!I21/1000</f>
        <v>75.011460775565695</v>
      </c>
      <c r="K84" s="83">
        <f ca="1">'Performance Matrices'!J21/1000</f>
        <v>77.366212488087498</v>
      </c>
      <c r="L84" s="83">
        <f ca="1">'Performance Matrices'!K21/1000</f>
        <v>74.232984702724394</v>
      </c>
      <c r="M84" s="83">
        <f ca="1">'Performance Matrices'!L21/1000</f>
        <v>71.099756917361205</v>
      </c>
      <c r="N84" s="83">
        <f ca="1">'Performance Matrices'!M21/1000</f>
        <v>65.001125725955802</v>
      </c>
      <c r="O84" s="83">
        <f ca="1">'Performance Matrices'!N21/1000</f>
        <v>58.9024945345503</v>
      </c>
      <c r="P84" s="83">
        <f ca="1">'Performance Matrices'!O21/1000</f>
        <v>51.322670823998799</v>
      </c>
      <c r="Q84" s="83">
        <f ca="1">'Performance Matrices'!P21/1000</f>
        <v>43.742847113447297</v>
      </c>
      <c r="R84" s="83">
        <f ca="1">'Performance Matrices'!Q21/1000</f>
        <v>40.289464164272097</v>
      </c>
      <c r="S84" s="83">
        <f ca="1">'Performance Matrices'!R21/1000</f>
        <v>36.836081215096897</v>
      </c>
      <c r="T84" s="83">
        <f ca="1">'Performance Matrices'!S21/1000</f>
        <v>0</v>
      </c>
    </row>
    <row r="85" spans="4:20" outlineLevel="1" x14ac:dyDescent="0.25">
      <c r="D85" s="77">
        <v>3.25</v>
      </c>
      <c r="E85" s="83">
        <f ca="1">'Performance Matrices'!D22/1000</f>
        <v>65.816497897338095</v>
      </c>
      <c r="F85" s="83">
        <f ca="1">'Performance Matrices'!E22/1000</f>
        <v>84.014897186633803</v>
      </c>
      <c r="G85" s="83">
        <f ca="1">'Performance Matrices'!F22/1000</f>
        <v>102.21329647592999</v>
      </c>
      <c r="H85" s="83">
        <f ca="1">'Performance Matrices'!G22/1000</f>
        <v>96.941571228406005</v>
      </c>
      <c r="I85" s="83">
        <f ca="1">'Performance Matrices'!H22/1000</f>
        <v>91.6698459808823</v>
      </c>
      <c r="J85" s="83">
        <f ca="1">'Performance Matrices'!I22/1000</f>
        <v>96.450102975058499</v>
      </c>
      <c r="K85" s="83">
        <f ca="1">'Performance Matrices'!J22/1000</f>
        <v>101.230359969235</v>
      </c>
      <c r="L85" s="83">
        <f ca="1">'Performance Matrices'!K22/1000</f>
        <v>101.229994145833</v>
      </c>
      <c r="M85" s="83">
        <f ca="1">'Performance Matrices'!L22/1000</f>
        <v>101.229628322431</v>
      </c>
      <c r="N85" s="83">
        <f ca="1">'Performance Matrices'!M22/1000</f>
        <v>88.337023755691504</v>
      </c>
      <c r="O85" s="83">
        <f ca="1">'Performance Matrices'!N22/1000</f>
        <v>75.444419188952494</v>
      </c>
      <c r="P85" s="83">
        <f ca="1">'Performance Matrices'!O22/1000</f>
        <v>68.4378793626082</v>
      </c>
      <c r="Q85" s="83">
        <f ca="1">'Performance Matrices'!P22/1000</f>
        <v>61.431339536263799</v>
      </c>
      <c r="R85" s="83">
        <f ca="1">'Performance Matrices'!Q22/1000</f>
        <v>52.906882791300298</v>
      </c>
      <c r="S85" s="83">
        <f ca="1">'Performance Matrices'!R22/1000</f>
        <v>44.382426046336803</v>
      </c>
      <c r="T85" s="83">
        <f ca="1">'Performance Matrices'!S22/1000</f>
        <v>0</v>
      </c>
    </row>
    <row r="86" spans="4:20" outlineLevel="1" x14ac:dyDescent="0.25">
      <c r="D86" s="77">
        <v>3.75</v>
      </c>
      <c r="E86" s="83">
        <f ca="1">'Performance Matrices'!D23/1000</f>
        <v>87.849672171573403</v>
      </c>
      <c r="F86" s="83">
        <f ca="1">'Performance Matrices'!E23/1000</f>
        <v>109.538044792066</v>
      </c>
      <c r="G86" s="83">
        <f ca="1">'Performance Matrices'!F23/1000</f>
        <v>131.22641741255899</v>
      </c>
      <c r="H86" s="83">
        <f ca="1">'Performance Matrices'!G23/1000</f>
        <v>140.28916788613901</v>
      </c>
      <c r="I86" s="83">
        <f ca="1">'Performance Matrices'!H23/1000</f>
        <v>149.35191835971901</v>
      </c>
      <c r="J86" s="83">
        <f ca="1">'Performance Matrices'!I23/1000</f>
        <v>149.36508790661199</v>
      </c>
      <c r="K86" s="83">
        <f ca="1">'Performance Matrices'!J23/1000</f>
        <v>149.378257453505</v>
      </c>
      <c r="L86" s="83">
        <f ca="1">'Performance Matrices'!K23/1000</f>
        <v>138.03056405045101</v>
      </c>
      <c r="M86" s="83">
        <f ca="1">'Performance Matrices'!L23/1000</f>
        <v>126.682870647397</v>
      </c>
      <c r="N86" s="83">
        <f ca="1">'Performance Matrices'!M23/1000</f>
        <v>121.538291085048</v>
      </c>
      <c r="O86" s="83">
        <f ca="1">'Performance Matrices'!N23/1000</f>
        <v>116.3937115227</v>
      </c>
      <c r="P86" s="83">
        <f ca="1">'Performance Matrices'!O23/1000</f>
        <v>103.69296819748099</v>
      </c>
      <c r="Q86" s="83">
        <f ca="1">'Performance Matrices'!P23/1000</f>
        <v>90.992224872263407</v>
      </c>
      <c r="R86" s="83">
        <f ca="1">'Performance Matrices'!Q23/1000</f>
        <v>82.310152960307803</v>
      </c>
      <c r="S86" s="83">
        <f ca="1">'Performance Matrices'!R23/1000</f>
        <v>73.6280810483523</v>
      </c>
      <c r="T86" s="83">
        <f ca="1">'Performance Matrices'!S23/1000</f>
        <v>0</v>
      </c>
    </row>
    <row r="87" spans="4:20" outlineLevel="1" x14ac:dyDescent="0.25">
      <c r="D87" s="77">
        <v>4.25</v>
      </c>
      <c r="E87" s="83">
        <f ca="1">'Performance Matrices'!D24/1000</f>
        <v>109.88284644580899</v>
      </c>
      <c r="F87" s="83">
        <f ca="1">'Performance Matrices'!E24/1000</f>
        <v>135.06119239749799</v>
      </c>
      <c r="G87" s="83">
        <f ca="1">'Performance Matrices'!F24/1000</f>
        <v>160.239538349188</v>
      </c>
      <c r="H87" s="83">
        <f ca="1">'Performance Matrices'!G24/1000</f>
        <v>183.636764543872</v>
      </c>
      <c r="I87" s="83">
        <f ca="1">'Performance Matrices'!H24/1000</f>
        <v>207.03399073855601</v>
      </c>
      <c r="J87" s="83">
        <f ca="1">'Performance Matrices'!I24/1000</f>
        <v>202.28007283816601</v>
      </c>
      <c r="K87" s="83">
        <f ca="1">'Performance Matrices'!J24/1000</f>
        <v>197.526154937775</v>
      </c>
      <c r="L87" s="83">
        <f ca="1">'Performance Matrices'!K24/1000</f>
        <v>174.83113395506999</v>
      </c>
      <c r="M87" s="83">
        <f ca="1">'Performance Matrices'!L24/1000</f>
        <v>152.136112972364</v>
      </c>
      <c r="N87" s="83">
        <f ca="1">'Performance Matrices'!M24/1000</f>
        <v>154.739558414405</v>
      </c>
      <c r="O87" s="83">
        <f ca="1">'Performance Matrices'!N24/1000</f>
        <v>157.34300385644701</v>
      </c>
      <c r="P87" s="83">
        <f ca="1">'Performance Matrices'!O24/1000</f>
        <v>138.948057032355</v>
      </c>
      <c r="Q87" s="83">
        <f ca="1">'Performance Matrices'!P24/1000</f>
        <v>120.55311020826301</v>
      </c>
      <c r="R87" s="83">
        <f ca="1">'Performance Matrices'!Q24/1000</f>
        <v>111.713423129315</v>
      </c>
      <c r="S87" s="83">
        <f ca="1">'Performance Matrices'!R24/1000</f>
        <v>102.873736050368</v>
      </c>
      <c r="T87" s="83">
        <f ca="1">'Performance Matrices'!S24/1000</f>
        <v>0</v>
      </c>
    </row>
    <row r="88" spans="4:20" outlineLevel="1" x14ac:dyDescent="0.25">
      <c r="D88" s="77">
        <v>4.75</v>
      </c>
      <c r="E88" s="83">
        <f ca="1">'Performance Matrices'!D25/1000</f>
        <v>131.088396335319</v>
      </c>
      <c r="F88" s="83">
        <f ca="1">'Performance Matrices'!E25/1000</f>
        <v>166.896109049497</v>
      </c>
      <c r="G88" s="83">
        <f ca="1">'Performance Matrices'!F25/1000</f>
        <v>202.70382176367499</v>
      </c>
      <c r="H88" s="83">
        <f ca="1">'Performance Matrices'!G25/1000</f>
        <v>223.98808810488899</v>
      </c>
      <c r="I88" s="83">
        <f ca="1">'Performance Matrices'!H25/1000</f>
        <v>245.27235444610201</v>
      </c>
      <c r="J88" s="83">
        <f ca="1">'Performance Matrices'!I25/1000</f>
        <v>247.38762802655199</v>
      </c>
      <c r="K88" s="83">
        <f ca="1">'Performance Matrices'!J25/1000</f>
        <v>249.502901607002</v>
      </c>
      <c r="L88" s="83">
        <f ca="1">'Performance Matrices'!K25/1000</f>
        <v>229.135542400541</v>
      </c>
      <c r="M88" s="83">
        <f ca="1">'Performance Matrices'!L25/1000</f>
        <v>208.76818319408099</v>
      </c>
      <c r="N88" s="83">
        <f ca="1">'Performance Matrices'!M25/1000</f>
        <v>212.60231202082301</v>
      </c>
      <c r="O88" s="83">
        <f ca="1">'Performance Matrices'!N25/1000</f>
        <v>216.436440847565</v>
      </c>
      <c r="P88" s="83">
        <f ca="1">'Performance Matrices'!O25/1000</f>
        <v>186.150050102253</v>
      </c>
      <c r="Q88" s="83">
        <f ca="1">'Performance Matrices'!P25/1000</f>
        <v>155.86365935694201</v>
      </c>
      <c r="R88" s="83">
        <f ca="1">'Performance Matrices'!Q25/1000</f>
        <v>135.47989160853399</v>
      </c>
      <c r="S88" s="83">
        <f ca="1">'Performance Matrices'!R25/1000</f>
        <v>115.096123860125</v>
      </c>
      <c r="T88" s="83">
        <f ca="1">'Performance Matrices'!S25/1000</f>
        <v>0</v>
      </c>
    </row>
    <row r="89" spans="4:20" outlineLevel="1" x14ac:dyDescent="0.25">
      <c r="D89" s="77">
        <v>5.25</v>
      </c>
      <c r="E89" s="83">
        <f ca="1">'Performance Matrices'!D26/1000</f>
        <v>152.29394622482999</v>
      </c>
      <c r="F89" s="83">
        <f ca="1">'Performance Matrices'!E26/1000</f>
        <v>198.731025701497</v>
      </c>
      <c r="G89" s="83">
        <f ca="1">'Performance Matrices'!F26/1000</f>
        <v>245.16810517816299</v>
      </c>
      <c r="H89" s="83">
        <f ca="1">'Performance Matrices'!G26/1000</f>
        <v>264.339411665905</v>
      </c>
      <c r="I89" s="83">
        <f ca="1">'Performance Matrices'!H26/1000</f>
        <v>283.51071815364702</v>
      </c>
      <c r="J89" s="83">
        <f ca="1">'Performance Matrices'!I26/1000</f>
        <v>292.49518321493701</v>
      </c>
      <c r="K89" s="83">
        <f ca="1">'Performance Matrices'!J26/1000</f>
        <v>301.47964827622798</v>
      </c>
      <c r="L89" s="83">
        <f ca="1">'Performance Matrices'!K26/1000</f>
        <v>283.43995084601301</v>
      </c>
      <c r="M89" s="83">
        <f ca="1">'Performance Matrices'!L26/1000</f>
        <v>265.400253415799</v>
      </c>
      <c r="N89" s="83">
        <f ca="1">'Performance Matrices'!M26/1000</f>
        <v>270.46506562724102</v>
      </c>
      <c r="O89" s="83">
        <f ca="1">'Performance Matrices'!N26/1000</f>
        <v>275.52987783868298</v>
      </c>
      <c r="P89" s="83">
        <f ca="1">'Performance Matrices'!O26/1000</f>
        <v>233.35204317215201</v>
      </c>
      <c r="Q89" s="83">
        <f ca="1">'Performance Matrices'!P26/1000</f>
        <v>191.17420850562101</v>
      </c>
      <c r="R89" s="83">
        <f ca="1">'Performance Matrices'!Q26/1000</f>
        <v>159.24636008775201</v>
      </c>
      <c r="S89" s="83">
        <f ca="1">'Performance Matrices'!R26/1000</f>
        <v>127.31851166988299</v>
      </c>
      <c r="T89" s="83">
        <f ca="1">'Performance Matrices'!S26/1000</f>
        <v>0</v>
      </c>
    </row>
    <row r="90" spans="4:20" outlineLevel="1" x14ac:dyDescent="0.25">
      <c r="D90" s="77">
        <v>5.75</v>
      </c>
      <c r="E90" s="83">
        <f ca="1">'Performance Matrices'!D27/1000</f>
        <v>204.32384867556399</v>
      </c>
      <c r="F90" s="83">
        <f ca="1">'Performance Matrices'!E27/1000</f>
        <v>255.44487930488901</v>
      </c>
      <c r="G90" s="83">
        <f ca="1">'Performance Matrices'!F27/1000</f>
        <v>306.56590993421401</v>
      </c>
      <c r="H90" s="83">
        <f ca="1">'Performance Matrices'!G27/1000</f>
        <v>332.24278318735298</v>
      </c>
      <c r="I90" s="83">
        <f ca="1">'Performance Matrices'!H27/1000</f>
        <v>357.91965644049299</v>
      </c>
      <c r="J90" s="83">
        <f ca="1">'Performance Matrices'!I27/1000</f>
        <v>366.183636578076</v>
      </c>
      <c r="K90" s="83">
        <f ca="1">'Performance Matrices'!J27/1000</f>
        <v>374.44761671565999</v>
      </c>
      <c r="L90" s="83">
        <f ca="1">'Performance Matrices'!K27/1000</f>
        <v>340.26657967528303</v>
      </c>
      <c r="M90" s="83">
        <f ca="1">'Performance Matrices'!L27/1000</f>
        <v>306.08554263490697</v>
      </c>
      <c r="N90" s="83">
        <f ca="1">'Performance Matrices'!M27/1000</f>
        <v>308.80754017381702</v>
      </c>
      <c r="O90" s="83">
        <f ca="1">'Performance Matrices'!N27/1000</f>
        <v>311.52953771272598</v>
      </c>
      <c r="P90" s="83">
        <f ca="1">'Performance Matrices'!O27/1000</f>
        <v>257.27182788717101</v>
      </c>
      <c r="Q90" s="83">
        <f ca="1">'Performance Matrices'!P27/1000</f>
        <v>203.01411806161497</v>
      </c>
      <c r="R90" s="83">
        <f ca="1">'Performance Matrices'!Q27/1000</f>
        <v>181.381486742503</v>
      </c>
      <c r="S90" s="83">
        <f ca="1">'Performance Matrices'!R27/1000</f>
        <v>159.74885542339001</v>
      </c>
      <c r="T90" s="83">
        <f ca="1">'Performance Matrices'!S27/1000</f>
        <v>0</v>
      </c>
    </row>
    <row r="91" spans="4:20" outlineLevel="1" x14ac:dyDescent="0.25">
      <c r="D91" s="77">
        <v>6.25</v>
      </c>
      <c r="E91" s="83">
        <f ca="1">'Performance Matrices'!D28/1000</f>
        <v>256.35375112629799</v>
      </c>
      <c r="F91" s="83">
        <f ca="1">'Performance Matrices'!E28/1000</f>
        <v>312.15873290828102</v>
      </c>
      <c r="G91" s="83">
        <f ca="1">'Performance Matrices'!F28/1000</f>
        <v>367.963714690264</v>
      </c>
      <c r="H91" s="83">
        <f ca="1">'Performance Matrices'!G28/1000</f>
        <v>400.14615470880199</v>
      </c>
      <c r="I91" s="83">
        <f ca="1">'Performance Matrices'!H28/1000</f>
        <v>432.32859472733901</v>
      </c>
      <c r="J91" s="83">
        <f ca="1">'Performance Matrices'!I28/1000</f>
        <v>439.87208994121499</v>
      </c>
      <c r="K91" s="83">
        <f ca="1">'Performance Matrices'!J28/1000</f>
        <v>447.415585155092</v>
      </c>
      <c r="L91" s="83">
        <f ca="1">'Performance Matrices'!K28/1000</f>
        <v>397.09320850455299</v>
      </c>
      <c r="M91" s="83">
        <f ca="1">'Performance Matrices'!L28/1000</f>
        <v>346.770831854015</v>
      </c>
      <c r="N91" s="83">
        <f ca="1">'Performance Matrices'!M28/1000</f>
        <v>347.15001472039199</v>
      </c>
      <c r="O91" s="83">
        <f ca="1">'Performance Matrices'!N28/1000</f>
        <v>347.52919758677001</v>
      </c>
      <c r="P91" s="83">
        <f ca="1">'Performance Matrices'!O28/1000</f>
        <v>281.19161260218999</v>
      </c>
      <c r="Q91" s="83">
        <f ca="1">'Performance Matrices'!P28/1000</f>
        <v>214.85402761761</v>
      </c>
      <c r="R91" s="83">
        <f ca="1">'Performance Matrices'!Q28/1000</f>
        <v>203.51661339725399</v>
      </c>
      <c r="S91" s="83">
        <f ca="1">'Performance Matrices'!R28/1000</f>
        <v>192.17919917689699</v>
      </c>
      <c r="T91" s="83">
        <f ca="1">'Performance Matrices'!S28/1000</f>
        <v>0</v>
      </c>
    </row>
    <row r="92" spans="4:20" outlineLevel="1" x14ac:dyDescent="0.25">
      <c r="D92" s="77">
        <v>6.75</v>
      </c>
      <c r="E92" s="83">
        <f ca="1">'Performance Matrices'!D29/1000</f>
        <v>256.35375112629799</v>
      </c>
      <c r="F92" s="83">
        <f ca="1">'Performance Matrices'!E29/1000</f>
        <v>312.15873290828102</v>
      </c>
      <c r="G92" s="83">
        <f ca="1">'Performance Matrices'!F29/1000</f>
        <v>367.963714690264</v>
      </c>
      <c r="H92" s="83">
        <f ca="1">'Performance Matrices'!G29/1000</f>
        <v>400.14615470880199</v>
      </c>
      <c r="I92" s="83">
        <f ca="1">'Performance Matrices'!H29/1000</f>
        <v>432.32859472733901</v>
      </c>
      <c r="J92" s="83">
        <f ca="1">'Performance Matrices'!I29/1000</f>
        <v>439.87208994121499</v>
      </c>
      <c r="K92" s="83">
        <f ca="1">'Performance Matrices'!J29/1000</f>
        <v>447.415585155092</v>
      </c>
      <c r="L92" s="83">
        <f ca="1">'Performance Matrices'!K29/1000</f>
        <v>397.09320850455299</v>
      </c>
      <c r="M92" s="83">
        <f ca="1">'Performance Matrices'!L29/1000</f>
        <v>346.770831854015</v>
      </c>
      <c r="N92" s="83">
        <f ca="1">'Performance Matrices'!M29/1000</f>
        <v>347.15001472039199</v>
      </c>
      <c r="O92" s="83">
        <f ca="1">'Performance Matrices'!N29/1000</f>
        <v>347.52919758677001</v>
      </c>
      <c r="P92" s="83">
        <f ca="1">'Performance Matrices'!O29/1000</f>
        <v>281.19161260218999</v>
      </c>
      <c r="Q92" s="83">
        <f ca="1">'Performance Matrices'!P29/1000</f>
        <v>214.85402761761</v>
      </c>
      <c r="R92" s="83">
        <f ca="1">'Performance Matrices'!Q29/1000</f>
        <v>203.51661339725399</v>
      </c>
      <c r="S92" s="83">
        <f ca="1">'Performance Matrices'!R29/1000</f>
        <v>192.17919917689699</v>
      </c>
      <c r="T92" s="83">
        <f ca="1">'Performance Matrices'!S29/1000</f>
        <v>0</v>
      </c>
    </row>
    <row r="93" spans="4:20" outlineLevel="1" x14ac:dyDescent="0.25">
      <c r="D93" s="77">
        <v>7.25</v>
      </c>
      <c r="E93" s="83">
        <f ca="1">'Performance Matrices'!D30/1000</f>
        <v>256.35375112629799</v>
      </c>
      <c r="F93" s="83">
        <f ca="1">'Performance Matrices'!E30/1000</f>
        <v>312.15873290828102</v>
      </c>
      <c r="G93" s="83">
        <f ca="1">'Performance Matrices'!F30/1000</f>
        <v>367.963714690264</v>
      </c>
      <c r="H93" s="83">
        <f ca="1">'Performance Matrices'!G30/1000</f>
        <v>400.14615470880199</v>
      </c>
      <c r="I93" s="83">
        <f ca="1">'Performance Matrices'!H30/1000</f>
        <v>432.32859472733901</v>
      </c>
      <c r="J93" s="83">
        <f ca="1">'Performance Matrices'!I30/1000</f>
        <v>439.87208994121499</v>
      </c>
      <c r="K93" s="83">
        <f ca="1">'Performance Matrices'!J30/1000</f>
        <v>447.415585155092</v>
      </c>
      <c r="L93" s="83">
        <f ca="1">'Performance Matrices'!K30/1000</f>
        <v>397.09320850455299</v>
      </c>
      <c r="M93" s="83">
        <f ca="1">'Performance Matrices'!L30/1000</f>
        <v>346.770831854015</v>
      </c>
      <c r="N93" s="83">
        <f ca="1">'Performance Matrices'!M30/1000</f>
        <v>347.15001472039199</v>
      </c>
      <c r="O93" s="83">
        <f ca="1">'Performance Matrices'!N30/1000</f>
        <v>347.52919758677001</v>
      </c>
      <c r="P93" s="83">
        <f ca="1">'Performance Matrices'!O30/1000</f>
        <v>281.19161260218999</v>
      </c>
      <c r="Q93" s="83">
        <f ca="1">'Performance Matrices'!P30/1000</f>
        <v>214.85402761761</v>
      </c>
      <c r="R93" s="83">
        <f ca="1">'Performance Matrices'!Q30/1000</f>
        <v>203.51661339725399</v>
      </c>
      <c r="S93" s="83">
        <f ca="1">'Performance Matrices'!R30/1000</f>
        <v>192.17919917689699</v>
      </c>
      <c r="T93" s="83">
        <f ca="1">'Performance Matrices'!S30/1000</f>
        <v>0</v>
      </c>
    </row>
    <row r="94" spans="4:20" outlineLevel="1" x14ac:dyDescent="0.25">
      <c r="D94" s="77">
        <v>7.75</v>
      </c>
      <c r="E94" s="83">
        <f ca="1">'Performance Matrices'!D31/1000</f>
        <v>256.35375112629799</v>
      </c>
      <c r="F94" s="83">
        <f ca="1">'Performance Matrices'!E31/1000</f>
        <v>312.15873290828102</v>
      </c>
      <c r="G94" s="83">
        <f ca="1">'Performance Matrices'!F31/1000</f>
        <v>367.963714690264</v>
      </c>
      <c r="H94" s="83">
        <f ca="1">'Performance Matrices'!G31/1000</f>
        <v>400.14615470880199</v>
      </c>
      <c r="I94" s="83">
        <f ca="1">'Performance Matrices'!H31/1000</f>
        <v>432.32859472733901</v>
      </c>
      <c r="J94" s="83">
        <f ca="1">'Performance Matrices'!I31/1000</f>
        <v>439.87208994121499</v>
      </c>
      <c r="K94" s="83">
        <f ca="1">'Performance Matrices'!J31/1000</f>
        <v>447.415585155092</v>
      </c>
      <c r="L94" s="83">
        <f ca="1">'Performance Matrices'!K31/1000</f>
        <v>397.09320850455299</v>
      </c>
      <c r="M94" s="83">
        <f ca="1">'Performance Matrices'!L31/1000</f>
        <v>346.770831854015</v>
      </c>
      <c r="N94" s="83">
        <f ca="1">'Performance Matrices'!M31/1000</f>
        <v>347.15001472039199</v>
      </c>
      <c r="O94" s="83">
        <f ca="1">'Performance Matrices'!N31/1000</f>
        <v>347.52919758677001</v>
      </c>
      <c r="P94" s="83">
        <f ca="1">'Performance Matrices'!O31/1000</f>
        <v>281.19161260218999</v>
      </c>
      <c r="Q94" s="83">
        <f ca="1">'Performance Matrices'!P31/1000</f>
        <v>214.85402761761</v>
      </c>
      <c r="R94" s="83">
        <f ca="1">'Performance Matrices'!Q31/1000</f>
        <v>203.51661339725399</v>
      </c>
      <c r="S94" s="83">
        <f ca="1">'Performance Matrices'!R31/1000</f>
        <v>192.17919917689699</v>
      </c>
      <c r="T94" s="83">
        <f ca="1">'Performance Matrices'!S31/1000</f>
        <v>0</v>
      </c>
    </row>
    <row r="95" spans="4:20" outlineLevel="1" x14ac:dyDescent="0.25">
      <c r="D95" s="77">
        <v>8.25</v>
      </c>
      <c r="E95" s="83">
        <f ca="1">'Performance Matrices'!D32/1000</f>
        <v>256.35375112629799</v>
      </c>
      <c r="F95" s="83">
        <f ca="1">'Performance Matrices'!E32/1000</f>
        <v>312.15873290828102</v>
      </c>
      <c r="G95" s="83">
        <f ca="1">'Performance Matrices'!F32/1000</f>
        <v>367.963714690264</v>
      </c>
      <c r="H95" s="83">
        <f ca="1">'Performance Matrices'!G32/1000</f>
        <v>400.14615470880199</v>
      </c>
      <c r="I95" s="83">
        <f ca="1">'Performance Matrices'!H32/1000</f>
        <v>432.32859472733901</v>
      </c>
      <c r="J95" s="83">
        <f ca="1">'Performance Matrices'!I32/1000</f>
        <v>439.87208994121499</v>
      </c>
      <c r="K95" s="83">
        <f ca="1">'Performance Matrices'!J32/1000</f>
        <v>447.415585155092</v>
      </c>
      <c r="L95" s="83">
        <f ca="1">'Performance Matrices'!K32/1000</f>
        <v>397.09320850455299</v>
      </c>
      <c r="M95" s="83">
        <f ca="1">'Performance Matrices'!L32/1000</f>
        <v>346.770831854015</v>
      </c>
      <c r="N95" s="83">
        <f ca="1">'Performance Matrices'!M32/1000</f>
        <v>347.15001472039199</v>
      </c>
      <c r="O95" s="83">
        <f ca="1">'Performance Matrices'!N32/1000</f>
        <v>347.52919758677001</v>
      </c>
      <c r="P95" s="83">
        <f ca="1">'Performance Matrices'!O32/1000</f>
        <v>281.19161260218999</v>
      </c>
      <c r="Q95" s="83">
        <f ca="1">'Performance Matrices'!P32/1000</f>
        <v>214.85402761761</v>
      </c>
      <c r="R95" s="83">
        <f ca="1">'Performance Matrices'!Q32/1000</f>
        <v>203.51661339725399</v>
      </c>
      <c r="S95" s="83">
        <f ca="1">'Performance Matrices'!R32/1000</f>
        <v>192.17919917689699</v>
      </c>
      <c r="T95" s="83">
        <f ca="1">'Performance Matrices'!S32/1000</f>
        <v>0</v>
      </c>
    </row>
    <row r="96" spans="4:20" outlineLevel="1" x14ac:dyDescent="0.25">
      <c r="D96" s="77">
        <v>8.75</v>
      </c>
      <c r="E96" s="83">
        <f ca="1">'Performance Matrices'!D33/1000</f>
        <v>256.35375112629799</v>
      </c>
      <c r="F96" s="83">
        <f ca="1">'Performance Matrices'!E33/1000</f>
        <v>312.15873290828102</v>
      </c>
      <c r="G96" s="83">
        <f ca="1">'Performance Matrices'!F33/1000</f>
        <v>367.963714690264</v>
      </c>
      <c r="H96" s="83">
        <f ca="1">'Performance Matrices'!G33/1000</f>
        <v>400.14615470880199</v>
      </c>
      <c r="I96" s="83">
        <f ca="1">'Performance Matrices'!H33/1000</f>
        <v>432.32859472733901</v>
      </c>
      <c r="J96" s="83">
        <f ca="1">'Performance Matrices'!I33/1000</f>
        <v>439.87208994121499</v>
      </c>
      <c r="K96" s="83">
        <f ca="1">'Performance Matrices'!J33/1000</f>
        <v>447.415585155092</v>
      </c>
      <c r="L96" s="83">
        <f ca="1">'Performance Matrices'!K33/1000</f>
        <v>397.09320850455299</v>
      </c>
      <c r="M96" s="83">
        <f ca="1">'Performance Matrices'!L33/1000</f>
        <v>346.770831854015</v>
      </c>
      <c r="N96" s="83">
        <f ca="1">'Performance Matrices'!M33/1000</f>
        <v>347.15001472039199</v>
      </c>
      <c r="O96" s="83">
        <f ca="1">'Performance Matrices'!N33/1000</f>
        <v>347.52919758677001</v>
      </c>
      <c r="P96" s="83">
        <f ca="1">'Performance Matrices'!O33/1000</f>
        <v>281.19161260218999</v>
      </c>
      <c r="Q96" s="83">
        <f ca="1">'Performance Matrices'!P33/1000</f>
        <v>214.85402761761</v>
      </c>
      <c r="R96" s="83">
        <f ca="1">'Performance Matrices'!Q33/1000</f>
        <v>203.51661339725399</v>
      </c>
      <c r="S96" s="83">
        <f ca="1">'Performance Matrices'!R33/1000</f>
        <v>192.17919917689699</v>
      </c>
      <c r="T96" s="83">
        <f ca="1">'Performance Matrices'!S33/1000</f>
        <v>0</v>
      </c>
    </row>
    <row r="97" spans="1:20" outlineLevel="1" x14ac:dyDescent="0.25">
      <c r="D97" s="77">
        <v>9.25</v>
      </c>
      <c r="E97" s="83">
        <f ca="1">'Performance Matrices'!D34/1000</f>
        <v>256.35375112629799</v>
      </c>
      <c r="F97" s="83">
        <f ca="1">'Performance Matrices'!E34/1000</f>
        <v>312.15873290828102</v>
      </c>
      <c r="G97" s="83">
        <f ca="1">'Performance Matrices'!F34/1000</f>
        <v>367.963714690264</v>
      </c>
      <c r="H97" s="83">
        <f ca="1">'Performance Matrices'!G34/1000</f>
        <v>400.14615470880199</v>
      </c>
      <c r="I97" s="83">
        <f ca="1">'Performance Matrices'!H34/1000</f>
        <v>432.32859472733901</v>
      </c>
      <c r="J97" s="83">
        <f ca="1">'Performance Matrices'!I34/1000</f>
        <v>439.87208994121499</v>
      </c>
      <c r="K97" s="83">
        <f ca="1">'Performance Matrices'!J34/1000</f>
        <v>447.415585155092</v>
      </c>
      <c r="L97" s="83">
        <f ca="1">'Performance Matrices'!K34/1000</f>
        <v>397.09320850455299</v>
      </c>
      <c r="M97" s="83">
        <f ca="1">'Performance Matrices'!L34/1000</f>
        <v>346.770831854015</v>
      </c>
      <c r="N97" s="83">
        <f ca="1">'Performance Matrices'!M34/1000</f>
        <v>347.15001472039199</v>
      </c>
      <c r="O97" s="83">
        <f ca="1">'Performance Matrices'!N34/1000</f>
        <v>347.52919758677001</v>
      </c>
      <c r="P97" s="83">
        <f ca="1">'Performance Matrices'!O34/1000</f>
        <v>281.19161260218999</v>
      </c>
      <c r="Q97" s="83">
        <f ca="1">'Performance Matrices'!P34/1000</f>
        <v>214.85402761761</v>
      </c>
      <c r="R97" s="83">
        <f ca="1">'Performance Matrices'!Q34/1000</f>
        <v>203.51661339725399</v>
      </c>
      <c r="S97" s="83">
        <f ca="1">'Performance Matrices'!R34/1000</f>
        <v>192.17919917689699</v>
      </c>
      <c r="T97" s="83">
        <f ca="1">'Performance Matrices'!S34/1000</f>
        <v>0</v>
      </c>
    </row>
    <row r="98" spans="1:20" outlineLevel="1" x14ac:dyDescent="0.25">
      <c r="D98" s="77">
        <v>9.75</v>
      </c>
      <c r="E98" s="83">
        <f ca="1">'Performance Matrices'!D35/1000</f>
        <v>256.35375112629799</v>
      </c>
      <c r="F98" s="83">
        <f ca="1">'Performance Matrices'!E35/1000</f>
        <v>312.15873290828102</v>
      </c>
      <c r="G98" s="83">
        <f ca="1">'Performance Matrices'!F35/1000</f>
        <v>367.963714690264</v>
      </c>
      <c r="H98" s="83">
        <f ca="1">'Performance Matrices'!G35/1000</f>
        <v>400.14615470880199</v>
      </c>
      <c r="I98" s="83">
        <f ca="1">'Performance Matrices'!H35/1000</f>
        <v>432.32859472733901</v>
      </c>
      <c r="J98" s="83">
        <f ca="1">'Performance Matrices'!I35/1000</f>
        <v>439.87208994121499</v>
      </c>
      <c r="K98" s="83">
        <f ca="1">'Performance Matrices'!J35/1000</f>
        <v>447.415585155092</v>
      </c>
      <c r="L98" s="83">
        <f ca="1">'Performance Matrices'!K35/1000</f>
        <v>397.09320850455299</v>
      </c>
      <c r="M98" s="83">
        <f ca="1">'Performance Matrices'!L35/1000</f>
        <v>346.770831854015</v>
      </c>
      <c r="N98" s="83">
        <f ca="1">'Performance Matrices'!M35/1000</f>
        <v>347.15001472039199</v>
      </c>
      <c r="O98" s="83">
        <f ca="1">'Performance Matrices'!N35/1000</f>
        <v>347.52919758677001</v>
      </c>
      <c r="P98" s="83">
        <f ca="1">'Performance Matrices'!O35/1000</f>
        <v>281.19161260218999</v>
      </c>
      <c r="Q98" s="83">
        <f ca="1">'Performance Matrices'!P35/1000</f>
        <v>214.85402761761</v>
      </c>
      <c r="R98" s="83">
        <f ca="1">'Performance Matrices'!Q35/1000</f>
        <v>203.51661339725399</v>
      </c>
      <c r="S98" s="83">
        <f ca="1">'Performance Matrices'!R35/1000</f>
        <v>192.17919917689699</v>
      </c>
      <c r="T98" s="83">
        <f ca="1">'Performance Matrices'!S35/1000</f>
        <v>0</v>
      </c>
    </row>
    <row r="99" spans="1:20" outlineLevel="1" x14ac:dyDescent="0.25">
      <c r="D99" s="77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</row>
    <row r="100" spans="1:20" outlineLevel="1" x14ac:dyDescent="0.25">
      <c r="A100" s="45" t="s">
        <v>320</v>
      </c>
    </row>
    <row r="101" spans="1:20" outlineLevel="1" x14ac:dyDescent="0.25">
      <c r="A101" s="45"/>
      <c r="E101" s="43" t="s">
        <v>117</v>
      </c>
    </row>
    <row r="102" spans="1:20" outlineLevel="1" x14ac:dyDescent="0.25">
      <c r="D102" s="75"/>
      <c r="E102" s="76">
        <v>4.5</v>
      </c>
      <c r="F102" s="76">
        <v>5.5</v>
      </c>
      <c r="G102" s="76">
        <v>6.5</v>
      </c>
      <c r="H102" s="76">
        <v>7.5</v>
      </c>
      <c r="I102" s="76">
        <v>8.5</v>
      </c>
      <c r="J102" s="76">
        <v>9.5</v>
      </c>
      <c r="K102" s="76">
        <v>10.5</v>
      </c>
      <c r="L102" s="76">
        <v>11.5</v>
      </c>
      <c r="M102" s="76">
        <v>12.5</v>
      </c>
      <c r="N102" s="76">
        <v>13.5</v>
      </c>
      <c r="O102" s="76">
        <v>14.5</v>
      </c>
      <c r="P102" s="76">
        <v>15.5</v>
      </c>
      <c r="Q102" s="76">
        <v>16.5</v>
      </c>
      <c r="R102" s="76">
        <v>17.5</v>
      </c>
      <c r="S102" s="76">
        <v>18.5</v>
      </c>
      <c r="T102" s="76">
        <v>19.5</v>
      </c>
    </row>
    <row r="103" spans="1:20" outlineLevel="1" x14ac:dyDescent="0.25">
      <c r="C103" s="43" t="s">
        <v>118</v>
      </c>
      <c r="D103" s="77">
        <v>0.25</v>
      </c>
      <c r="E103" s="85">
        <f ca="1">E79*$G$12</f>
        <v>0.2864407972225208</v>
      </c>
      <c r="F103" s="85">
        <f t="shared" ref="F103:T103" ca="1" si="7">F79*$G$12</f>
        <v>0.38488411250757926</v>
      </c>
      <c r="G103" s="85">
        <f t="shared" ca="1" si="7"/>
        <v>0.48332742779263849</v>
      </c>
      <c r="H103" s="85">
        <f t="shared" ca="1" si="7"/>
        <v>0.50454648845988881</v>
      </c>
      <c r="I103" s="85">
        <f t="shared" ca="1" si="7"/>
        <v>0.52576554912714002</v>
      </c>
      <c r="J103" s="85">
        <f t="shared" ca="1" si="7"/>
        <v>0.50280728281639764</v>
      </c>
      <c r="K103" s="85">
        <f t="shared" ca="1" si="7"/>
        <v>0.47984901650565437</v>
      </c>
      <c r="L103" s="85">
        <f t="shared" ca="1" si="7"/>
        <v>0.48222514256281762</v>
      </c>
      <c r="M103" s="85">
        <f t="shared" ca="1" si="7"/>
        <v>0.48460126861998082</v>
      </c>
      <c r="N103" s="85">
        <f t="shared" ca="1" si="7"/>
        <v>0.45736664601704241</v>
      </c>
      <c r="O103" s="85">
        <f t="shared" ca="1" si="7"/>
        <v>0.43013202341410328</v>
      </c>
      <c r="P103" s="85">
        <f t="shared" ca="1" si="7"/>
        <v>0.39276271669379925</v>
      </c>
      <c r="Q103" s="85">
        <f t="shared" ca="1" si="7"/>
        <v>0.35539340997349522</v>
      </c>
      <c r="R103" s="85">
        <f t="shared" ca="1" si="7"/>
        <v>0.32641087700292165</v>
      </c>
      <c r="S103" s="85">
        <f t="shared" ca="1" si="7"/>
        <v>0.2974283440323488</v>
      </c>
      <c r="T103" s="85">
        <f t="shared" ca="1" si="7"/>
        <v>0</v>
      </c>
    </row>
    <row r="104" spans="1:20" outlineLevel="1" x14ac:dyDescent="0.25">
      <c r="D104" s="77">
        <v>0.75</v>
      </c>
      <c r="E104" s="85">
        <f t="shared" ref="E104:T119" ca="1" si="8">E80*$G$12</f>
        <v>4.5287719890265281</v>
      </c>
      <c r="F104" s="85">
        <f t="shared" ca="1" si="8"/>
        <v>5.4051510250232004</v>
      </c>
      <c r="G104" s="85">
        <f t="shared" ca="1" si="8"/>
        <v>6.2815300610198799</v>
      </c>
      <c r="H104" s="85">
        <f t="shared" ca="1" si="8"/>
        <v>6.5645310113718001</v>
      </c>
      <c r="I104" s="85">
        <f t="shared" ca="1" si="8"/>
        <v>6.8475319617237282</v>
      </c>
      <c r="J104" s="85">
        <f t="shared" ca="1" si="8"/>
        <v>6.8634706450909917</v>
      </c>
      <c r="K104" s="85">
        <f t="shared" ca="1" si="8"/>
        <v>6.879409328458256</v>
      </c>
      <c r="L104" s="85">
        <f t="shared" ca="1" si="8"/>
        <v>6.6874345094051835</v>
      </c>
      <c r="M104" s="85">
        <f t="shared" ca="1" si="8"/>
        <v>6.4954596903521038</v>
      </c>
      <c r="N104" s="85">
        <f t="shared" ca="1" si="8"/>
        <v>6.1475355673990242</v>
      </c>
      <c r="O104" s="85">
        <f t="shared" ca="1" si="8"/>
        <v>5.7996114444459437</v>
      </c>
      <c r="P104" s="85">
        <f t="shared" ca="1" si="8"/>
        <v>5.1334973741293766</v>
      </c>
      <c r="Q104" s="85">
        <f t="shared" ca="1" si="8"/>
        <v>4.4673833038128086</v>
      </c>
      <c r="R104" s="85">
        <f t="shared" ca="1" si="8"/>
        <v>3.8680663123168801</v>
      </c>
      <c r="S104" s="85">
        <f t="shared" ca="1" si="8"/>
        <v>3.2687493208209442</v>
      </c>
      <c r="T104" s="85">
        <f t="shared" ca="1" si="8"/>
        <v>0</v>
      </c>
    </row>
    <row r="105" spans="1:20" outlineLevel="1" x14ac:dyDescent="0.25">
      <c r="D105" s="77">
        <v>1.25</v>
      </c>
      <c r="E105" s="85">
        <f t="shared" ca="1" si="8"/>
        <v>8.7711031808305613</v>
      </c>
      <c r="F105" s="85">
        <f t="shared" ca="1" si="8"/>
        <v>10.425417937538802</v>
      </c>
      <c r="G105" s="85">
        <f t="shared" ca="1" si="8"/>
        <v>12.07973269424712</v>
      </c>
      <c r="H105" s="85">
        <f t="shared" ca="1" si="8"/>
        <v>12.624515534283681</v>
      </c>
      <c r="I105" s="85">
        <f t="shared" ca="1" si="8"/>
        <v>13.16929837432032</v>
      </c>
      <c r="J105" s="85">
        <f t="shared" ca="1" si="8"/>
        <v>13.224134007365601</v>
      </c>
      <c r="K105" s="85">
        <f t="shared" ca="1" si="8"/>
        <v>13.278969640410882</v>
      </c>
      <c r="L105" s="85">
        <f t="shared" ca="1" si="8"/>
        <v>12.892643876247519</v>
      </c>
      <c r="M105" s="85">
        <f t="shared" ca="1" si="8"/>
        <v>12.506318112084241</v>
      </c>
      <c r="N105" s="85">
        <f t="shared" ca="1" si="8"/>
        <v>11.837704488781041</v>
      </c>
      <c r="O105" s="85">
        <f t="shared" ca="1" si="8"/>
        <v>11.169090865477761</v>
      </c>
      <c r="P105" s="85">
        <f t="shared" ca="1" si="8"/>
        <v>9.8742320315649597</v>
      </c>
      <c r="Q105" s="85">
        <f t="shared" ca="1" si="8"/>
        <v>8.5793731976521599</v>
      </c>
      <c r="R105" s="85">
        <f t="shared" ca="1" si="8"/>
        <v>7.4097217476308321</v>
      </c>
      <c r="S105" s="85">
        <f t="shared" ca="1" si="8"/>
        <v>6.2400702976095443</v>
      </c>
      <c r="T105" s="85">
        <f t="shared" ca="1" si="8"/>
        <v>0</v>
      </c>
    </row>
    <row r="106" spans="1:20" outlineLevel="1" x14ac:dyDescent="0.25">
      <c r="D106" s="77">
        <v>1.75</v>
      </c>
      <c r="E106" s="85">
        <f t="shared" ca="1" si="8"/>
        <v>17.451251444374162</v>
      </c>
      <c r="F106" s="85">
        <f t="shared" ca="1" si="8"/>
        <v>21.416488597601283</v>
      </c>
      <c r="G106" s="85">
        <f t="shared" ca="1" si="8"/>
        <v>25.381725750828402</v>
      </c>
      <c r="H106" s="85">
        <f t="shared" ca="1" si="8"/>
        <v>26.711901898035439</v>
      </c>
      <c r="I106" s="85">
        <f t="shared" ca="1" si="8"/>
        <v>28.042078045242405</v>
      </c>
      <c r="J106" s="85">
        <f t="shared" ca="1" si="8"/>
        <v>28.041194434112001</v>
      </c>
      <c r="K106" s="85">
        <f t="shared" ca="1" si="8"/>
        <v>28.040310822981521</v>
      </c>
      <c r="L106" s="85">
        <f t="shared" ca="1" si="8"/>
        <v>25.340712041970242</v>
      </c>
      <c r="M106" s="85">
        <f t="shared" ca="1" si="8"/>
        <v>22.641113260958882</v>
      </c>
      <c r="N106" s="85">
        <f t="shared" ca="1" si="8"/>
        <v>22.58494332287848</v>
      </c>
      <c r="O106" s="85">
        <f t="shared" ca="1" si="8"/>
        <v>22.528773384798161</v>
      </c>
      <c r="P106" s="85">
        <f t="shared" ca="1" si="8"/>
        <v>18.620100929938243</v>
      </c>
      <c r="Q106" s="85">
        <f t="shared" ca="1" si="8"/>
        <v>14.711428475078401</v>
      </c>
      <c r="R106" s="85">
        <f t="shared" ca="1" si="8"/>
        <v>14.77367908871296</v>
      </c>
      <c r="S106" s="85">
        <f t="shared" ca="1" si="8"/>
        <v>14.835929702347521</v>
      </c>
      <c r="T106" s="85">
        <f t="shared" ca="1" si="8"/>
        <v>0</v>
      </c>
    </row>
    <row r="107" spans="1:20" outlineLevel="1" x14ac:dyDescent="0.25">
      <c r="D107" s="77">
        <v>2.25</v>
      </c>
      <c r="E107" s="85">
        <f t="shared" ca="1" si="8"/>
        <v>26.131399707917765</v>
      </c>
      <c r="F107" s="85">
        <f t="shared" ca="1" si="8"/>
        <v>32.407559257663756</v>
      </c>
      <c r="G107" s="85">
        <f t="shared" ca="1" si="8"/>
        <v>38.683718807409683</v>
      </c>
      <c r="H107" s="85">
        <f t="shared" ca="1" si="8"/>
        <v>40.799288261787126</v>
      </c>
      <c r="I107" s="85">
        <f t="shared" ca="1" si="8"/>
        <v>42.914857716164484</v>
      </c>
      <c r="J107" s="85">
        <f t="shared" ca="1" si="8"/>
        <v>42.858254860858402</v>
      </c>
      <c r="K107" s="85">
        <f t="shared" ca="1" si="8"/>
        <v>42.801652005552242</v>
      </c>
      <c r="L107" s="85">
        <f t="shared" ca="1" si="8"/>
        <v>37.788780207692881</v>
      </c>
      <c r="M107" s="85">
        <f t="shared" ca="1" si="8"/>
        <v>32.775908409833605</v>
      </c>
      <c r="N107" s="85">
        <f t="shared" ca="1" si="8"/>
        <v>33.332182156976003</v>
      </c>
      <c r="O107" s="85">
        <f t="shared" ca="1" si="8"/>
        <v>33.88845590411848</v>
      </c>
      <c r="P107" s="85">
        <f t="shared" ca="1" si="8"/>
        <v>27.365969828311599</v>
      </c>
      <c r="Q107" s="85">
        <f t="shared" ca="1" si="8"/>
        <v>20.843483752504721</v>
      </c>
      <c r="R107" s="85">
        <f t="shared" ca="1" si="8"/>
        <v>22.137636429795123</v>
      </c>
      <c r="S107" s="85">
        <f t="shared" ca="1" si="8"/>
        <v>23.431789107085603</v>
      </c>
      <c r="T107" s="85">
        <f t="shared" ca="1" si="8"/>
        <v>0</v>
      </c>
    </row>
    <row r="108" spans="1:20" outlineLevel="1" x14ac:dyDescent="0.25">
      <c r="D108" s="77">
        <v>2.75</v>
      </c>
      <c r="E108" s="85">
        <f t="shared" ca="1" si="8"/>
        <v>39.392299012894163</v>
      </c>
      <c r="F108" s="85">
        <f t="shared" ca="1" si="8"/>
        <v>49.809738503485448</v>
      </c>
      <c r="G108" s="85">
        <f t="shared" ca="1" si="8"/>
        <v>60.227177994076719</v>
      </c>
      <c r="H108" s="85">
        <f t="shared" ca="1" si="8"/>
        <v>59.176272622255922</v>
      </c>
      <c r="I108" s="85">
        <f t="shared" ca="1" si="8"/>
        <v>58.125367250435204</v>
      </c>
      <c r="J108" s="85">
        <f t="shared" ca="1" si="8"/>
        <v>60.009168620452556</v>
      </c>
      <c r="K108" s="85">
        <f t="shared" ca="1" si="8"/>
        <v>61.89296999047</v>
      </c>
      <c r="L108" s="85">
        <f t="shared" ca="1" si="8"/>
        <v>59.386387762179517</v>
      </c>
      <c r="M108" s="85">
        <f t="shared" ca="1" si="8"/>
        <v>56.87980553388897</v>
      </c>
      <c r="N108" s="85">
        <f t="shared" ca="1" si="8"/>
        <v>52.000900580764643</v>
      </c>
      <c r="O108" s="85">
        <f t="shared" ca="1" si="8"/>
        <v>47.121995627640246</v>
      </c>
      <c r="P108" s="85">
        <f t="shared" ca="1" si="8"/>
        <v>41.058136659199043</v>
      </c>
      <c r="Q108" s="85">
        <f t="shared" ca="1" si="8"/>
        <v>34.994277690757841</v>
      </c>
      <c r="R108" s="85">
        <f t="shared" ca="1" si="8"/>
        <v>32.231571331417676</v>
      </c>
      <c r="S108" s="85">
        <f t="shared" ca="1" si="8"/>
        <v>29.468864972077519</v>
      </c>
      <c r="T108" s="85">
        <f t="shared" ca="1" si="8"/>
        <v>0</v>
      </c>
    </row>
    <row r="109" spans="1:20" outlineLevel="1" x14ac:dyDescent="0.25">
      <c r="D109" s="77">
        <v>3.25</v>
      </c>
      <c r="E109" s="85">
        <f t="shared" ca="1" si="8"/>
        <v>52.653198317870476</v>
      </c>
      <c r="F109" s="85">
        <f t="shared" ca="1" si="8"/>
        <v>67.211917749307048</v>
      </c>
      <c r="G109" s="85">
        <f t="shared" ca="1" si="8"/>
        <v>81.770637180744004</v>
      </c>
      <c r="H109" s="85">
        <f t="shared" ca="1" si="8"/>
        <v>77.553256982724804</v>
      </c>
      <c r="I109" s="85">
        <f t="shared" ca="1" si="8"/>
        <v>73.335876784705846</v>
      </c>
      <c r="J109" s="85">
        <f t="shared" ca="1" si="8"/>
        <v>77.160082380046802</v>
      </c>
      <c r="K109" s="85">
        <f t="shared" ca="1" si="8"/>
        <v>80.984287975388</v>
      </c>
      <c r="L109" s="85">
        <f t="shared" ca="1" si="8"/>
        <v>80.983995316666409</v>
      </c>
      <c r="M109" s="85">
        <f t="shared" ca="1" si="8"/>
        <v>80.983702657944804</v>
      </c>
      <c r="N109" s="85">
        <f t="shared" ca="1" si="8"/>
        <v>70.669619004553212</v>
      </c>
      <c r="O109" s="85">
        <f t="shared" ca="1" si="8"/>
        <v>60.355535351161997</v>
      </c>
      <c r="P109" s="85">
        <f t="shared" ca="1" si="8"/>
        <v>54.750303490086566</v>
      </c>
      <c r="Q109" s="85">
        <f t="shared" ca="1" si="8"/>
        <v>49.145071629011042</v>
      </c>
      <c r="R109" s="85">
        <f t="shared" ca="1" si="8"/>
        <v>42.325506233040244</v>
      </c>
      <c r="S109" s="85">
        <f t="shared" ca="1" si="8"/>
        <v>35.505940837069446</v>
      </c>
      <c r="T109" s="85">
        <f t="shared" ca="1" si="8"/>
        <v>0</v>
      </c>
    </row>
    <row r="110" spans="1:20" outlineLevel="1" x14ac:dyDescent="0.25">
      <c r="D110" s="77">
        <v>3.75</v>
      </c>
      <c r="E110" s="85">
        <f t="shared" ca="1" si="8"/>
        <v>70.279737737258728</v>
      </c>
      <c r="F110" s="85">
        <f t="shared" ca="1" si="8"/>
        <v>87.630435833652811</v>
      </c>
      <c r="G110" s="85">
        <f t="shared" ca="1" si="8"/>
        <v>104.98113393004719</v>
      </c>
      <c r="H110" s="85">
        <f t="shared" ca="1" si="8"/>
        <v>112.23133430891122</v>
      </c>
      <c r="I110" s="85">
        <f t="shared" ca="1" si="8"/>
        <v>119.48153468777521</v>
      </c>
      <c r="J110" s="85">
        <f t="shared" ca="1" si="8"/>
        <v>119.4920703252896</v>
      </c>
      <c r="K110" s="85">
        <f t="shared" ca="1" si="8"/>
        <v>119.50260596280401</v>
      </c>
      <c r="L110" s="85">
        <f t="shared" ca="1" si="8"/>
        <v>110.42445124036081</v>
      </c>
      <c r="M110" s="85">
        <f t="shared" ca="1" si="8"/>
        <v>101.34629651791761</v>
      </c>
      <c r="N110" s="85">
        <f t="shared" ca="1" si="8"/>
        <v>97.230632868038413</v>
      </c>
      <c r="O110" s="85">
        <f t="shared" ca="1" si="8"/>
        <v>93.114969218160013</v>
      </c>
      <c r="P110" s="85">
        <f t="shared" ca="1" si="8"/>
        <v>82.954374557984806</v>
      </c>
      <c r="Q110" s="85">
        <f t="shared" ca="1" si="8"/>
        <v>72.793779897810722</v>
      </c>
      <c r="R110" s="85">
        <f t="shared" ca="1" si="8"/>
        <v>65.848122368246251</v>
      </c>
      <c r="S110" s="85">
        <f t="shared" ca="1" si="8"/>
        <v>58.902464838681844</v>
      </c>
      <c r="T110" s="85">
        <f t="shared" ca="1" si="8"/>
        <v>0</v>
      </c>
    </row>
    <row r="111" spans="1:20" outlineLevel="1" x14ac:dyDescent="0.25">
      <c r="D111" s="77">
        <v>4.25</v>
      </c>
      <c r="E111" s="85">
        <f t="shared" ca="1" si="8"/>
        <v>87.906277156647207</v>
      </c>
      <c r="F111" s="85">
        <f t="shared" ca="1" si="8"/>
        <v>108.0489539179984</v>
      </c>
      <c r="G111" s="85">
        <f t="shared" ca="1" si="8"/>
        <v>128.1916306793504</v>
      </c>
      <c r="H111" s="85">
        <f t="shared" ca="1" si="8"/>
        <v>146.9094116350976</v>
      </c>
      <c r="I111" s="85">
        <f t="shared" ca="1" si="8"/>
        <v>165.62719259084483</v>
      </c>
      <c r="J111" s="85">
        <f t="shared" ca="1" si="8"/>
        <v>161.82405827053282</v>
      </c>
      <c r="K111" s="85">
        <f t="shared" ca="1" si="8"/>
        <v>158.02092395022001</v>
      </c>
      <c r="L111" s="85">
        <f t="shared" ca="1" si="8"/>
        <v>139.86490716405601</v>
      </c>
      <c r="M111" s="85">
        <f t="shared" ca="1" si="8"/>
        <v>121.70889037789121</v>
      </c>
      <c r="N111" s="85">
        <f t="shared" ca="1" si="8"/>
        <v>123.791646731524</v>
      </c>
      <c r="O111" s="85">
        <f t="shared" ca="1" si="8"/>
        <v>125.87440308515761</v>
      </c>
      <c r="P111" s="85">
        <f t="shared" ca="1" si="8"/>
        <v>111.158445625884</v>
      </c>
      <c r="Q111" s="85">
        <f t="shared" ca="1" si="8"/>
        <v>96.442488166610417</v>
      </c>
      <c r="R111" s="85">
        <f t="shared" ca="1" si="8"/>
        <v>89.370738503452003</v>
      </c>
      <c r="S111" s="85">
        <f t="shared" ca="1" si="8"/>
        <v>82.298988840294399</v>
      </c>
      <c r="T111" s="85">
        <f t="shared" ca="1" si="8"/>
        <v>0</v>
      </c>
    </row>
    <row r="112" spans="1:20" outlineLevel="1" x14ac:dyDescent="0.25">
      <c r="D112" s="77">
        <v>4.75</v>
      </c>
      <c r="E112" s="85">
        <f t="shared" ca="1" si="8"/>
        <v>104.8707170682552</v>
      </c>
      <c r="F112" s="85">
        <f t="shared" ca="1" si="8"/>
        <v>133.51688723959759</v>
      </c>
      <c r="G112" s="85">
        <f t="shared" ca="1" si="8"/>
        <v>162.16305741094001</v>
      </c>
      <c r="H112" s="85">
        <f t="shared" ca="1" si="8"/>
        <v>179.19047048391121</v>
      </c>
      <c r="I112" s="85">
        <f t="shared" ca="1" si="8"/>
        <v>196.21788355688162</v>
      </c>
      <c r="J112" s="85">
        <f t="shared" ca="1" si="8"/>
        <v>197.91010242124162</v>
      </c>
      <c r="K112" s="85">
        <f t="shared" ca="1" si="8"/>
        <v>199.60232128560162</v>
      </c>
      <c r="L112" s="85">
        <f t="shared" ca="1" si="8"/>
        <v>183.3084339204328</v>
      </c>
      <c r="M112" s="85">
        <f t="shared" ca="1" si="8"/>
        <v>167.01454655526481</v>
      </c>
      <c r="N112" s="85">
        <f t="shared" ca="1" si="8"/>
        <v>170.08184961665842</v>
      </c>
      <c r="O112" s="85">
        <f t="shared" ca="1" si="8"/>
        <v>173.14915267805202</v>
      </c>
      <c r="P112" s="85">
        <f t="shared" ca="1" si="8"/>
        <v>148.9200400818024</v>
      </c>
      <c r="Q112" s="85">
        <f t="shared" ca="1" si="8"/>
        <v>124.69092748555362</v>
      </c>
      <c r="R112" s="85">
        <f t="shared" ca="1" si="8"/>
        <v>108.38391328682719</v>
      </c>
      <c r="S112" s="85">
        <f t="shared" ca="1" si="8"/>
        <v>92.076899088100006</v>
      </c>
      <c r="T112" s="85">
        <f t="shared" ca="1" si="8"/>
        <v>0</v>
      </c>
    </row>
    <row r="113" spans="1:20" outlineLevel="1" x14ac:dyDescent="0.25">
      <c r="D113" s="77">
        <v>5.25</v>
      </c>
      <c r="E113" s="85">
        <f t="shared" ca="1" si="8"/>
        <v>121.835156979864</v>
      </c>
      <c r="F113" s="85">
        <f t="shared" ca="1" si="8"/>
        <v>158.98482056119761</v>
      </c>
      <c r="G113" s="85">
        <f t="shared" ca="1" si="8"/>
        <v>196.1344841425304</v>
      </c>
      <c r="H113" s="85">
        <f t="shared" ca="1" si="8"/>
        <v>211.471529332724</v>
      </c>
      <c r="I113" s="85">
        <f t="shared" ca="1" si="8"/>
        <v>226.80857452291764</v>
      </c>
      <c r="J113" s="85">
        <f ca="1">J89*$G$12</f>
        <v>233.99614657194962</v>
      </c>
      <c r="K113" s="85">
        <f t="shared" ca="1" si="8"/>
        <v>241.1837186209824</v>
      </c>
      <c r="L113" s="85">
        <f t="shared" ca="1" si="8"/>
        <v>226.75196067681043</v>
      </c>
      <c r="M113" s="85">
        <f t="shared" ca="1" si="8"/>
        <v>212.32020273263922</v>
      </c>
      <c r="N113" s="85">
        <f t="shared" ca="1" si="8"/>
        <v>216.37205250179284</v>
      </c>
      <c r="O113" s="85">
        <f t="shared" ca="1" si="8"/>
        <v>220.4239022709464</v>
      </c>
      <c r="P113" s="85">
        <f t="shared" ca="1" si="8"/>
        <v>186.68163453772161</v>
      </c>
      <c r="Q113" s="85">
        <f t="shared" ca="1" si="8"/>
        <v>152.93936680449681</v>
      </c>
      <c r="R113" s="85">
        <f t="shared" ca="1" si="8"/>
        <v>127.39708807020162</v>
      </c>
      <c r="S113" s="85">
        <f t="shared" ca="1" si="8"/>
        <v>101.8548093359064</v>
      </c>
      <c r="T113" s="85">
        <f t="shared" ca="1" si="8"/>
        <v>0</v>
      </c>
    </row>
    <row r="114" spans="1:20" outlineLevel="1" x14ac:dyDescent="0.25">
      <c r="D114" s="77">
        <v>5.75</v>
      </c>
      <c r="E114" s="85">
        <f t="shared" ca="1" si="8"/>
        <v>163.45907894045121</v>
      </c>
      <c r="F114" s="85">
        <f t="shared" ca="1" si="8"/>
        <v>204.35590344391122</v>
      </c>
      <c r="G114" s="85">
        <f t="shared" ca="1" si="8"/>
        <v>245.25272794737123</v>
      </c>
      <c r="H114" s="85">
        <f t="shared" ca="1" si="8"/>
        <v>265.79422654988241</v>
      </c>
      <c r="I114" s="85">
        <f t="shared" ca="1" si="8"/>
        <v>286.33572515239439</v>
      </c>
      <c r="J114" s="85">
        <f t="shared" ca="1" si="8"/>
        <v>292.94690926246079</v>
      </c>
      <c r="K114" s="85">
        <f t="shared" ca="1" si="8"/>
        <v>299.55809337252799</v>
      </c>
      <c r="L114" s="85">
        <f t="shared" ca="1" si="8"/>
        <v>272.21326374022641</v>
      </c>
      <c r="M114" s="85">
        <f t="shared" ca="1" si="8"/>
        <v>244.86843410792559</v>
      </c>
      <c r="N114" s="85">
        <f t="shared" ca="1" si="8"/>
        <v>247.04603213905364</v>
      </c>
      <c r="O114" s="85">
        <f t="shared" ca="1" si="8"/>
        <v>249.2236301701808</v>
      </c>
      <c r="P114" s="85">
        <f t="shared" ca="1" si="8"/>
        <v>205.81746230973681</v>
      </c>
      <c r="Q114" s="85">
        <f t="shared" ca="1" si="8"/>
        <v>162.41129444929197</v>
      </c>
      <c r="R114" s="85">
        <f t="shared" ca="1" si="8"/>
        <v>145.10518939400239</v>
      </c>
      <c r="S114" s="85">
        <f t="shared" ca="1" si="8"/>
        <v>127.79908433871202</v>
      </c>
      <c r="T114" s="85">
        <f t="shared" ca="1" si="8"/>
        <v>0</v>
      </c>
    </row>
    <row r="115" spans="1:20" outlineLevel="1" x14ac:dyDescent="0.25">
      <c r="D115" s="77">
        <v>6.25</v>
      </c>
      <c r="E115" s="85">
        <f t="shared" ca="1" si="8"/>
        <v>205.08300090103842</v>
      </c>
      <c r="F115" s="85">
        <f t="shared" ca="1" si="8"/>
        <v>249.72698632662483</v>
      </c>
      <c r="G115" s="85">
        <f t="shared" ca="1" si="8"/>
        <v>294.37097175221123</v>
      </c>
      <c r="H115" s="85">
        <f t="shared" ca="1" si="8"/>
        <v>320.11692376704161</v>
      </c>
      <c r="I115" s="85">
        <f t="shared" ca="1" si="8"/>
        <v>345.86287578187125</v>
      </c>
      <c r="J115" s="85">
        <f t="shared" ca="1" si="8"/>
        <v>351.89767195297202</v>
      </c>
      <c r="K115" s="85">
        <f t="shared" ca="1" si="8"/>
        <v>357.93246812407364</v>
      </c>
      <c r="L115" s="85">
        <f t="shared" ca="1" si="8"/>
        <v>317.67456680364239</v>
      </c>
      <c r="M115" s="85">
        <f t="shared" ca="1" si="8"/>
        <v>277.416665483212</v>
      </c>
      <c r="N115" s="85">
        <f t="shared" ca="1" si="8"/>
        <v>277.72001177631358</v>
      </c>
      <c r="O115" s="85">
        <f t="shared" ca="1" si="8"/>
        <v>278.02335806941602</v>
      </c>
      <c r="P115" s="85">
        <f t="shared" ca="1" si="8"/>
        <v>224.95329008175202</v>
      </c>
      <c r="Q115" s="85">
        <f t="shared" ca="1" si="8"/>
        <v>171.88322209408801</v>
      </c>
      <c r="R115" s="85">
        <f t="shared" ca="1" si="8"/>
        <v>162.8132907178032</v>
      </c>
      <c r="S115" s="85">
        <f t="shared" ca="1" si="8"/>
        <v>153.74335934151759</v>
      </c>
      <c r="T115" s="85">
        <f t="shared" ca="1" si="8"/>
        <v>0</v>
      </c>
    </row>
    <row r="116" spans="1:20" outlineLevel="1" x14ac:dyDescent="0.25">
      <c r="D116" s="77">
        <v>6.75</v>
      </c>
      <c r="E116" s="85">
        <f t="shared" ca="1" si="8"/>
        <v>205.08300090103842</v>
      </c>
      <c r="F116" s="85">
        <f t="shared" ca="1" si="8"/>
        <v>249.72698632662483</v>
      </c>
      <c r="G116" s="85">
        <f t="shared" ca="1" si="8"/>
        <v>294.37097175221123</v>
      </c>
      <c r="H116" s="85">
        <f t="shared" ca="1" si="8"/>
        <v>320.11692376704161</v>
      </c>
      <c r="I116" s="85">
        <f t="shared" ca="1" si="8"/>
        <v>345.86287578187125</v>
      </c>
      <c r="J116" s="85">
        <f t="shared" ca="1" si="8"/>
        <v>351.89767195297202</v>
      </c>
      <c r="K116" s="85">
        <f t="shared" ca="1" si="8"/>
        <v>357.93246812407364</v>
      </c>
      <c r="L116" s="85">
        <f t="shared" ca="1" si="8"/>
        <v>317.67456680364239</v>
      </c>
      <c r="M116" s="85">
        <f t="shared" ca="1" si="8"/>
        <v>277.416665483212</v>
      </c>
      <c r="N116" s="85">
        <f t="shared" ca="1" si="8"/>
        <v>277.72001177631358</v>
      </c>
      <c r="O116" s="85">
        <f t="shared" ca="1" si="8"/>
        <v>278.02335806941602</v>
      </c>
      <c r="P116" s="85">
        <f t="shared" ca="1" si="8"/>
        <v>224.95329008175202</v>
      </c>
      <c r="Q116" s="85">
        <f t="shared" ca="1" si="8"/>
        <v>171.88322209408801</v>
      </c>
      <c r="R116" s="85">
        <f t="shared" ca="1" si="8"/>
        <v>162.8132907178032</v>
      </c>
      <c r="S116" s="85">
        <f t="shared" ca="1" si="8"/>
        <v>153.74335934151759</v>
      </c>
      <c r="T116" s="85">
        <f t="shared" ca="1" si="8"/>
        <v>0</v>
      </c>
    </row>
    <row r="117" spans="1:20" outlineLevel="1" x14ac:dyDescent="0.25">
      <c r="D117" s="77">
        <v>7.25</v>
      </c>
      <c r="E117" s="85">
        <f t="shared" ca="1" si="8"/>
        <v>205.08300090103842</v>
      </c>
      <c r="F117" s="85">
        <f t="shared" ca="1" si="8"/>
        <v>249.72698632662483</v>
      </c>
      <c r="G117" s="85">
        <f t="shared" ca="1" si="8"/>
        <v>294.37097175221123</v>
      </c>
      <c r="H117" s="85">
        <f t="shared" ca="1" si="8"/>
        <v>320.11692376704161</v>
      </c>
      <c r="I117" s="85">
        <f t="shared" ca="1" si="8"/>
        <v>345.86287578187125</v>
      </c>
      <c r="J117" s="85">
        <f t="shared" ca="1" si="8"/>
        <v>351.89767195297202</v>
      </c>
      <c r="K117" s="85">
        <f t="shared" ca="1" si="8"/>
        <v>357.93246812407364</v>
      </c>
      <c r="L117" s="85">
        <f t="shared" ca="1" si="8"/>
        <v>317.67456680364239</v>
      </c>
      <c r="M117" s="85">
        <f t="shared" ca="1" si="8"/>
        <v>277.416665483212</v>
      </c>
      <c r="N117" s="85">
        <f t="shared" ca="1" si="8"/>
        <v>277.72001177631358</v>
      </c>
      <c r="O117" s="85">
        <f t="shared" ca="1" si="8"/>
        <v>278.02335806941602</v>
      </c>
      <c r="P117" s="85">
        <f t="shared" ca="1" si="8"/>
        <v>224.95329008175202</v>
      </c>
      <c r="Q117" s="85">
        <f t="shared" ca="1" si="8"/>
        <v>171.88322209408801</v>
      </c>
      <c r="R117" s="85">
        <f t="shared" ca="1" si="8"/>
        <v>162.8132907178032</v>
      </c>
      <c r="S117" s="85">
        <f t="shared" ca="1" si="8"/>
        <v>153.74335934151759</v>
      </c>
      <c r="T117" s="85">
        <f t="shared" ca="1" si="8"/>
        <v>0</v>
      </c>
    </row>
    <row r="118" spans="1:20" outlineLevel="1" x14ac:dyDescent="0.25">
      <c r="D118" s="77">
        <v>7.75</v>
      </c>
      <c r="E118" s="85">
        <f t="shared" ca="1" si="8"/>
        <v>205.08300090103842</v>
      </c>
      <c r="F118" s="85">
        <f t="shared" ca="1" si="8"/>
        <v>249.72698632662483</v>
      </c>
      <c r="G118" s="85">
        <f t="shared" ca="1" si="8"/>
        <v>294.37097175221123</v>
      </c>
      <c r="H118" s="85">
        <f t="shared" ca="1" si="8"/>
        <v>320.11692376704161</v>
      </c>
      <c r="I118" s="85">
        <f t="shared" ca="1" si="8"/>
        <v>345.86287578187125</v>
      </c>
      <c r="J118" s="85">
        <f t="shared" ca="1" si="8"/>
        <v>351.89767195297202</v>
      </c>
      <c r="K118" s="85">
        <f t="shared" ca="1" si="8"/>
        <v>357.93246812407364</v>
      </c>
      <c r="L118" s="85">
        <f t="shared" ca="1" si="8"/>
        <v>317.67456680364239</v>
      </c>
      <c r="M118" s="85">
        <f t="shared" ca="1" si="8"/>
        <v>277.416665483212</v>
      </c>
      <c r="N118" s="85">
        <f t="shared" ca="1" si="8"/>
        <v>277.72001177631358</v>
      </c>
      <c r="O118" s="85">
        <f t="shared" ca="1" si="8"/>
        <v>278.02335806941602</v>
      </c>
      <c r="P118" s="85">
        <f t="shared" ca="1" si="8"/>
        <v>224.95329008175202</v>
      </c>
      <c r="Q118" s="85">
        <f t="shared" ca="1" si="8"/>
        <v>171.88322209408801</v>
      </c>
      <c r="R118" s="85">
        <f t="shared" ca="1" si="8"/>
        <v>162.8132907178032</v>
      </c>
      <c r="S118" s="85">
        <f t="shared" ca="1" si="8"/>
        <v>153.74335934151759</v>
      </c>
      <c r="T118" s="85">
        <f t="shared" ca="1" si="8"/>
        <v>0</v>
      </c>
    </row>
    <row r="119" spans="1:20" outlineLevel="1" x14ac:dyDescent="0.25">
      <c r="D119" s="77">
        <v>8.25</v>
      </c>
      <c r="E119" s="85">
        <f t="shared" ca="1" si="8"/>
        <v>205.08300090103842</v>
      </c>
      <c r="F119" s="85">
        <f t="shared" ca="1" si="8"/>
        <v>249.72698632662483</v>
      </c>
      <c r="G119" s="85">
        <f t="shared" ca="1" si="8"/>
        <v>294.37097175221123</v>
      </c>
      <c r="H119" s="85">
        <f t="shared" ca="1" si="8"/>
        <v>320.11692376704161</v>
      </c>
      <c r="I119" s="85">
        <f t="shared" ca="1" si="8"/>
        <v>345.86287578187125</v>
      </c>
      <c r="J119" s="85">
        <f t="shared" ca="1" si="8"/>
        <v>351.89767195297202</v>
      </c>
      <c r="K119" s="85">
        <f t="shared" ca="1" si="8"/>
        <v>357.93246812407364</v>
      </c>
      <c r="L119" s="85">
        <f t="shared" ca="1" si="8"/>
        <v>317.67456680364239</v>
      </c>
      <c r="M119" s="85">
        <f t="shared" ca="1" si="8"/>
        <v>277.416665483212</v>
      </c>
      <c r="N119" s="85">
        <f t="shared" ca="1" si="8"/>
        <v>277.72001177631358</v>
      </c>
      <c r="O119" s="85">
        <f t="shared" ca="1" si="8"/>
        <v>278.02335806941602</v>
      </c>
      <c r="P119" s="85">
        <f t="shared" ca="1" si="8"/>
        <v>224.95329008175202</v>
      </c>
      <c r="Q119" s="85">
        <f t="shared" ca="1" si="8"/>
        <v>171.88322209408801</v>
      </c>
      <c r="R119" s="85">
        <f t="shared" ca="1" si="8"/>
        <v>162.8132907178032</v>
      </c>
      <c r="S119" s="85">
        <f t="shared" ca="1" si="8"/>
        <v>153.74335934151759</v>
      </c>
      <c r="T119" s="85">
        <f ca="1">T95*$G$12</f>
        <v>0</v>
      </c>
    </row>
    <row r="120" spans="1:20" outlineLevel="1" x14ac:dyDescent="0.25">
      <c r="D120" s="77">
        <v>8.75</v>
      </c>
      <c r="E120" s="85">
        <f t="shared" ref="E120:T122" ca="1" si="9">E96*$G$12</f>
        <v>205.08300090103842</v>
      </c>
      <c r="F120" s="85">
        <f t="shared" ca="1" si="9"/>
        <v>249.72698632662483</v>
      </c>
      <c r="G120" s="85">
        <f t="shared" ca="1" si="9"/>
        <v>294.37097175221123</v>
      </c>
      <c r="H120" s="85">
        <f t="shared" ca="1" si="9"/>
        <v>320.11692376704161</v>
      </c>
      <c r="I120" s="85">
        <f t="shared" ca="1" si="9"/>
        <v>345.86287578187125</v>
      </c>
      <c r="J120" s="85">
        <f t="shared" ca="1" si="9"/>
        <v>351.89767195297202</v>
      </c>
      <c r="K120" s="85">
        <f t="shared" ca="1" si="9"/>
        <v>357.93246812407364</v>
      </c>
      <c r="L120" s="85">
        <f t="shared" ca="1" si="9"/>
        <v>317.67456680364239</v>
      </c>
      <c r="M120" s="85">
        <f t="shared" ca="1" si="9"/>
        <v>277.416665483212</v>
      </c>
      <c r="N120" s="85">
        <f t="shared" ca="1" si="9"/>
        <v>277.72001177631358</v>
      </c>
      <c r="O120" s="85">
        <f t="shared" ca="1" si="9"/>
        <v>278.02335806941602</v>
      </c>
      <c r="P120" s="85">
        <f t="shared" ca="1" si="9"/>
        <v>224.95329008175202</v>
      </c>
      <c r="Q120" s="85">
        <f t="shared" ca="1" si="9"/>
        <v>171.88322209408801</v>
      </c>
      <c r="R120" s="85">
        <f t="shared" ca="1" si="9"/>
        <v>162.8132907178032</v>
      </c>
      <c r="S120" s="85">
        <f t="shared" ca="1" si="9"/>
        <v>153.74335934151759</v>
      </c>
      <c r="T120" s="85">
        <f t="shared" ca="1" si="9"/>
        <v>0</v>
      </c>
    </row>
    <row r="121" spans="1:20" outlineLevel="1" x14ac:dyDescent="0.25">
      <c r="D121" s="77">
        <v>9.25</v>
      </c>
      <c r="E121" s="85">
        <f t="shared" ca="1" si="9"/>
        <v>205.08300090103842</v>
      </c>
      <c r="F121" s="85">
        <f t="shared" ca="1" si="9"/>
        <v>249.72698632662483</v>
      </c>
      <c r="G121" s="85">
        <f t="shared" ca="1" si="9"/>
        <v>294.37097175221123</v>
      </c>
      <c r="H121" s="85">
        <f t="shared" ca="1" si="9"/>
        <v>320.11692376704161</v>
      </c>
      <c r="I121" s="85">
        <f t="shared" ca="1" si="9"/>
        <v>345.86287578187125</v>
      </c>
      <c r="J121" s="85">
        <f t="shared" ca="1" si="9"/>
        <v>351.89767195297202</v>
      </c>
      <c r="K121" s="85">
        <f t="shared" ca="1" si="9"/>
        <v>357.93246812407364</v>
      </c>
      <c r="L121" s="85">
        <f t="shared" ca="1" si="9"/>
        <v>317.67456680364239</v>
      </c>
      <c r="M121" s="85">
        <f t="shared" ca="1" si="9"/>
        <v>277.416665483212</v>
      </c>
      <c r="N121" s="85">
        <f t="shared" ca="1" si="9"/>
        <v>277.72001177631358</v>
      </c>
      <c r="O121" s="85">
        <f t="shared" ca="1" si="9"/>
        <v>278.02335806941602</v>
      </c>
      <c r="P121" s="85">
        <f t="shared" ca="1" si="9"/>
        <v>224.95329008175202</v>
      </c>
      <c r="Q121" s="85">
        <f t="shared" ca="1" si="9"/>
        <v>171.88322209408801</v>
      </c>
      <c r="R121" s="85">
        <f t="shared" ca="1" si="9"/>
        <v>162.8132907178032</v>
      </c>
      <c r="S121" s="85">
        <f t="shared" ca="1" si="9"/>
        <v>153.74335934151759</v>
      </c>
      <c r="T121" s="85">
        <f t="shared" ca="1" si="9"/>
        <v>0</v>
      </c>
    </row>
    <row r="122" spans="1:20" outlineLevel="1" x14ac:dyDescent="0.25">
      <c r="D122" s="77">
        <v>9.75</v>
      </c>
      <c r="E122" s="85">
        <f t="shared" ca="1" si="9"/>
        <v>205.08300090103842</v>
      </c>
      <c r="F122" s="85">
        <f t="shared" ca="1" si="9"/>
        <v>249.72698632662483</v>
      </c>
      <c r="G122" s="85">
        <f t="shared" ca="1" si="9"/>
        <v>294.37097175221123</v>
      </c>
      <c r="H122" s="85">
        <f t="shared" ca="1" si="9"/>
        <v>320.11692376704161</v>
      </c>
      <c r="I122" s="85">
        <f t="shared" ca="1" si="9"/>
        <v>345.86287578187125</v>
      </c>
      <c r="J122" s="85">
        <f t="shared" ca="1" si="9"/>
        <v>351.89767195297202</v>
      </c>
      <c r="K122" s="85">
        <f t="shared" ca="1" si="9"/>
        <v>357.93246812407364</v>
      </c>
      <c r="L122" s="85">
        <f t="shared" ca="1" si="9"/>
        <v>317.67456680364239</v>
      </c>
      <c r="M122" s="85">
        <f t="shared" ca="1" si="9"/>
        <v>277.416665483212</v>
      </c>
      <c r="N122" s="85">
        <f t="shared" ca="1" si="9"/>
        <v>277.72001177631358</v>
      </c>
      <c r="O122" s="85">
        <f t="shared" ca="1" si="9"/>
        <v>278.02335806941602</v>
      </c>
      <c r="P122" s="85">
        <f t="shared" ca="1" si="9"/>
        <v>224.95329008175202</v>
      </c>
      <c r="Q122" s="85">
        <f t="shared" ca="1" si="9"/>
        <v>171.88322209408801</v>
      </c>
      <c r="R122" s="85">
        <f t="shared" ca="1" si="9"/>
        <v>162.8132907178032</v>
      </c>
      <c r="S122" s="85">
        <f t="shared" ca="1" si="9"/>
        <v>153.74335934151759</v>
      </c>
      <c r="T122" s="85">
        <f t="shared" ca="1" si="9"/>
        <v>0</v>
      </c>
    </row>
    <row r="123" spans="1:20" outlineLevel="1" x14ac:dyDescent="0.25">
      <c r="D123" s="77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</row>
    <row r="124" spans="1:20" outlineLevel="1" x14ac:dyDescent="0.25">
      <c r="A124" s="45" t="s">
        <v>121</v>
      </c>
      <c r="D124" s="77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</row>
    <row r="125" spans="1:20" outlineLevel="1" x14ac:dyDescent="0.25">
      <c r="A125" s="45"/>
      <c r="D125" s="77"/>
      <c r="E125" s="84" t="s">
        <v>117</v>
      </c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</row>
    <row r="126" spans="1:20" outlineLevel="1" x14ac:dyDescent="0.25">
      <c r="D126" s="75"/>
      <c r="E126" s="76">
        <v>4.5</v>
      </c>
      <c r="F126" s="76">
        <v>5.5</v>
      </c>
      <c r="G126" s="76">
        <v>6.5</v>
      </c>
      <c r="H126" s="76">
        <v>7.5</v>
      </c>
      <c r="I126" s="76">
        <v>8.5</v>
      </c>
      <c r="J126" s="76">
        <v>9.5</v>
      </c>
      <c r="K126" s="76">
        <v>10.5</v>
      </c>
      <c r="L126" s="76">
        <v>11.5</v>
      </c>
      <c r="M126" s="76">
        <v>12.5</v>
      </c>
      <c r="N126" s="76">
        <v>13.5</v>
      </c>
      <c r="O126" s="76">
        <v>14.5</v>
      </c>
      <c r="P126" s="76">
        <v>15.5</v>
      </c>
      <c r="Q126" s="76">
        <v>16.5</v>
      </c>
      <c r="R126" s="76">
        <v>17.5</v>
      </c>
      <c r="S126" s="76">
        <v>18.5</v>
      </c>
      <c r="T126" s="76">
        <v>19.5</v>
      </c>
    </row>
    <row r="127" spans="1:20" outlineLevel="1" x14ac:dyDescent="0.25">
      <c r="C127" s="43" t="s">
        <v>118</v>
      </c>
      <c r="D127" s="77">
        <v>0.25</v>
      </c>
      <c r="E127" s="81">
        <f ca="1">MIN(E103,$G$13)</f>
        <v>0.2864407972225208</v>
      </c>
      <c r="F127" s="81">
        <f t="shared" ref="F127:T128" ca="1" si="10">MIN(F103,$G$13)</f>
        <v>0.38488411250757926</v>
      </c>
      <c r="G127" s="81">
        <f t="shared" ca="1" si="10"/>
        <v>0.48332742779263849</v>
      </c>
      <c r="H127" s="81">
        <f t="shared" ca="1" si="10"/>
        <v>0.50454648845988881</v>
      </c>
      <c r="I127" s="81">
        <f t="shared" ca="1" si="10"/>
        <v>0.52576554912714002</v>
      </c>
      <c r="J127" s="81">
        <f t="shared" ca="1" si="10"/>
        <v>0.50280728281639764</v>
      </c>
      <c r="K127" s="81">
        <f t="shared" ca="1" si="10"/>
        <v>0.47984901650565437</v>
      </c>
      <c r="L127" s="81">
        <f t="shared" ca="1" si="10"/>
        <v>0.48222514256281762</v>
      </c>
      <c r="M127" s="81">
        <f t="shared" ca="1" si="10"/>
        <v>0.48460126861998082</v>
      </c>
      <c r="N127" s="81">
        <f t="shared" ca="1" si="10"/>
        <v>0.45736664601704241</v>
      </c>
      <c r="O127" s="81">
        <f t="shared" ca="1" si="10"/>
        <v>0.43013202341410328</v>
      </c>
      <c r="P127" s="81">
        <f t="shared" ca="1" si="10"/>
        <v>0.39276271669379925</v>
      </c>
      <c r="Q127" s="81">
        <f t="shared" ca="1" si="10"/>
        <v>0.35539340997349522</v>
      </c>
      <c r="R127" s="81">
        <f t="shared" ca="1" si="10"/>
        <v>0.32641087700292165</v>
      </c>
      <c r="S127" s="81">
        <f t="shared" ca="1" si="10"/>
        <v>0.2974283440323488</v>
      </c>
      <c r="T127" s="81">
        <f t="shared" ca="1" si="10"/>
        <v>0</v>
      </c>
    </row>
    <row r="128" spans="1:20" outlineLevel="1" x14ac:dyDescent="0.25">
      <c r="D128" s="77">
        <v>0.75</v>
      </c>
      <c r="E128" s="81">
        <f ca="1">MIN(E104,$G$13)</f>
        <v>4.5287719890265281</v>
      </c>
      <c r="F128" s="81">
        <f t="shared" ca="1" si="10"/>
        <v>5.4051510250232004</v>
      </c>
      <c r="G128" s="81">
        <f t="shared" ca="1" si="10"/>
        <v>6.2815300610198799</v>
      </c>
      <c r="H128" s="81">
        <f t="shared" ca="1" si="10"/>
        <v>6.5645310113718001</v>
      </c>
      <c r="I128" s="81">
        <f t="shared" ca="1" si="10"/>
        <v>6.8475319617237282</v>
      </c>
      <c r="J128" s="81">
        <f t="shared" ca="1" si="10"/>
        <v>6.8634706450909917</v>
      </c>
      <c r="K128" s="81">
        <f t="shared" ca="1" si="10"/>
        <v>6.879409328458256</v>
      </c>
      <c r="L128" s="81">
        <f t="shared" ca="1" si="10"/>
        <v>6.6874345094051835</v>
      </c>
      <c r="M128" s="81">
        <f t="shared" ca="1" si="10"/>
        <v>6.4954596903521038</v>
      </c>
      <c r="N128" s="81">
        <f t="shared" ca="1" si="10"/>
        <v>6.1475355673990242</v>
      </c>
      <c r="O128" s="81">
        <f t="shared" ca="1" si="10"/>
        <v>5.7996114444459437</v>
      </c>
      <c r="P128" s="81">
        <f t="shared" ca="1" si="10"/>
        <v>5.1334973741293766</v>
      </c>
      <c r="Q128" s="81">
        <f t="shared" ca="1" si="10"/>
        <v>4.4673833038128086</v>
      </c>
      <c r="R128" s="81">
        <f t="shared" ca="1" si="10"/>
        <v>3.8680663123168801</v>
      </c>
      <c r="S128" s="81">
        <f t="shared" ca="1" si="10"/>
        <v>3.2687493208209442</v>
      </c>
      <c r="T128" s="81">
        <f t="shared" ca="1" si="10"/>
        <v>0</v>
      </c>
    </row>
    <row r="129" spans="4:20" outlineLevel="1" x14ac:dyDescent="0.25">
      <c r="D129" s="77">
        <v>1.25</v>
      </c>
      <c r="E129" s="81">
        <f t="shared" ref="E129:T144" ca="1" si="11">MIN(E105,$G$13)</f>
        <v>8.7711031808305613</v>
      </c>
      <c r="F129" s="81">
        <f t="shared" ca="1" si="11"/>
        <v>10.425417937538802</v>
      </c>
      <c r="G129" s="81">
        <f t="shared" ca="1" si="11"/>
        <v>12.07973269424712</v>
      </c>
      <c r="H129" s="81">
        <f t="shared" ca="1" si="11"/>
        <v>12.624515534283681</v>
      </c>
      <c r="I129" s="81">
        <f t="shared" ca="1" si="11"/>
        <v>13.16929837432032</v>
      </c>
      <c r="J129" s="81">
        <f t="shared" ca="1" si="11"/>
        <v>13.224134007365601</v>
      </c>
      <c r="K129" s="81">
        <f t="shared" ca="1" si="11"/>
        <v>13.278969640410882</v>
      </c>
      <c r="L129" s="81">
        <f t="shared" ca="1" si="11"/>
        <v>12.892643876247519</v>
      </c>
      <c r="M129" s="81">
        <f t="shared" ca="1" si="11"/>
        <v>12.506318112084241</v>
      </c>
      <c r="N129" s="81">
        <f t="shared" ca="1" si="11"/>
        <v>11.837704488781041</v>
      </c>
      <c r="O129" s="81">
        <f t="shared" ca="1" si="11"/>
        <v>11.169090865477761</v>
      </c>
      <c r="P129" s="81">
        <f t="shared" ca="1" si="11"/>
        <v>9.8742320315649597</v>
      </c>
      <c r="Q129" s="81">
        <f t="shared" ca="1" si="11"/>
        <v>8.5793731976521599</v>
      </c>
      <c r="R129" s="81">
        <f t="shared" ca="1" si="11"/>
        <v>7.4097217476308321</v>
      </c>
      <c r="S129" s="81">
        <f t="shared" ca="1" si="11"/>
        <v>6.2400702976095443</v>
      </c>
      <c r="T129" s="81">
        <f t="shared" ca="1" si="11"/>
        <v>0</v>
      </c>
    </row>
    <row r="130" spans="4:20" outlineLevel="1" x14ac:dyDescent="0.25">
      <c r="D130" s="77">
        <v>1.75</v>
      </c>
      <c r="E130" s="81">
        <f t="shared" ca="1" si="11"/>
        <v>17.451251444374162</v>
      </c>
      <c r="F130" s="81">
        <f t="shared" ca="1" si="11"/>
        <v>21.416488597601283</v>
      </c>
      <c r="G130" s="81">
        <f t="shared" ca="1" si="11"/>
        <v>25.381725750828402</v>
      </c>
      <c r="H130" s="81">
        <f t="shared" ca="1" si="11"/>
        <v>26.711901898035439</v>
      </c>
      <c r="I130" s="81">
        <f t="shared" ca="1" si="11"/>
        <v>28.042078045242405</v>
      </c>
      <c r="J130" s="81">
        <f t="shared" ca="1" si="11"/>
        <v>28.041194434112001</v>
      </c>
      <c r="K130" s="81">
        <f t="shared" ca="1" si="11"/>
        <v>28.040310822981521</v>
      </c>
      <c r="L130" s="81">
        <f t="shared" ca="1" si="11"/>
        <v>25.340712041970242</v>
      </c>
      <c r="M130" s="81">
        <f t="shared" ca="1" si="11"/>
        <v>22.641113260958882</v>
      </c>
      <c r="N130" s="81">
        <f t="shared" ca="1" si="11"/>
        <v>22.58494332287848</v>
      </c>
      <c r="O130" s="81">
        <f t="shared" ca="1" si="11"/>
        <v>22.528773384798161</v>
      </c>
      <c r="P130" s="81">
        <f t="shared" ca="1" si="11"/>
        <v>18.620100929938243</v>
      </c>
      <c r="Q130" s="81">
        <f t="shared" ca="1" si="11"/>
        <v>14.711428475078401</v>
      </c>
      <c r="R130" s="81">
        <f t="shared" ca="1" si="11"/>
        <v>14.77367908871296</v>
      </c>
      <c r="S130" s="81">
        <f t="shared" ca="1" si="11"/>
        <v>14.835929702347521</v>
      </c>
      <c r="T130" s="81">
        <f t="shared" ca="1" si="11"/>
        <v>0</v>
      </c>
    </row>
    <row r="131" spans="4:20" outlineLevel="1" x14ac:dyDescent="0.25">
      <c r="D131" s="77">
        <v>2.25</v>
      </c>
      <c r="E131" s="81">
        <f t="shared" ca="1" si="11"/>
        <v>26.131399707917765</v>
      </c>
      <c r="F131" s="81">
        <f t="shared" ca="1" si="11"/>
        <v>32.407559257663756</v>
      </c>
      <c r="G131" s="81">
        <f t="shared" ca="1" si="11"/>
        <v>38.683718807409683</v>
      </c>
      <c r="H131" s="81">
        <f t="shared" ca="1" si="11"/>
        <v>40.799288261787126</v>
      </c>
      <c r="I131" s="81">
        <f t="shared" ca="1" si="11"/>
        <v>42.914857716164484</v>
      </c>
      <c r="J131" s="81">
        <f t="shared" ca="1" si="11"/>
        <v>42.858254860858402</v>
      </c>
      <c r="K131" s="81">
        <f t="shared" ca="1" si="11"/>
        <v>42.801652005552242</v>
      </c>
      <c r="L131" s="81">
        <f t="shared" ca="1" si="11"/>
        <v>37.788780207692881</v>
      </c>
      <c r="M131" s="81">
        <f t="shared" ca="1" si="11"/>
        <v>32.775908409833605</v>
      </c>
      <c r="N131" s="81">
        <f t="shared" ca="1" si="11"/>
        <v>33.332182156976003</v>
      </c>
      <c r="O131" s="81">
        <f t="shared" ca="1" si="11"/>
        <v>33.88845590411848</v>
      </c>
      <c r="P131" s="81">
        <f t="shared" ca="1" si="11"/>
        <v>27.365969828311599</v>
      </c>
      <c r="Q131" s="81">
        <f t="shared" ca="1" si="11"/>
        <v>20.843483752504721</v>
      </c>
      <c r="R131" s="81">
        <f t="shared" ca="1" si="11"/>
        <v>22.137636429795123</v>
      </c>
      <c r="S131" s="81">
        <f t="shared" ca="1" si="11"/>
        <v>23.431789107085603</v>
      </c>
      <c r="T131" s="81">
        <f t="shared" ca="1" si="11"/>
        <v>0</v>
      </c>
    </row>
    <row r="132" spans="4:20" outlineLevel="1" x14ac:dyDescent="0.25">
      <c r="D132" s="77">
        <v>2.75</v>
      </c>
      <c r="E132" s="81">
        <f t="shared" ca="1" si="11"/>
        <v>39.392299012894163</v>
      </c>
      <c r="F132" s="81">
        <f t="shared" ca="1" si="11"/>
        <v>49.809738503485448</v>
      </c>
      <c r="G132" s="81">
        <f t="shared" ca="1" si="11"/>
        <v>60.227177994076719</v>
      </c>
      <c r="H132" s="81">
        <f t="shared" ca="1" si="11"/>
        <v>59.176272622255922</v>
      </c>
      <c r="I132" s="81">
        <f t="shared" ca="1" si="11"/>
        <v>58.125367250435204</v>
      </c>
      <c r="J132" s="81">
        <f t="shared" ca="1" si="11"/>
        <v>60.009168620452556</v>
      </c>
      <c r="K132" s="81">
        <f t="shared" ca="1" si="11"/>
        <v>61.89296999047</v>
      </c>
      <c r="L132" s="81">
        <f t="shared" ca="1" si="11"/>
        <v>59.386387762179517</v>
      </c>
      <c r="M132" s="81">
        <f t="shared" ca="1" si="11"/>
        <v>56.87980553388897</v>
      </c>
      <c r="N132" s="81">
        <f t="shared" ca="1" si="11"/>
        <v>52.000900580764643</v>
      </c>
      <c r="O132" s="81">
        <f t="shared" ca="1" si="11"/>
        <v>47.121995627640246</v>
      </c>
      <c r="P132" s="81">
        <f t="shared" ca="1" si="11"/>
        <v>41.058136659199043</v>
      </c>
      <c r="Q132" s="81">
        <f t="shared" ca="1" si="11"/>
        <v>34.994277690757841</v>
      </c>
      <c r="R132" s="81">
        <f t="shared" ca="1" si="11"/>
        <v>32.231571331417676</v>
      </c>
      <c r="S132" s="81">
        <f t="shared" ca="1" si="11"/>
        <v>29.468864972077519</v>
      </c>
      <c r="T132" s="81">
        <f t="shared" ca="1" si="11"/>
        <v>0</v>
      </c>
    </row>
    <row r="133" spans="4:20" outlineLevel="1" x14ac:dyDescent="0.25">
      <c r="D133" s="77">
        <v>3.25</v>
      </c>
      <c r="E133" s="81">
        <f t="shared" ca="1" si="11"/>
        <v>52.653198317870476</v>
      </c>
      <c r="F133" s="81">
        <f t="shared" ca="1" si="11"/>
        <v>67.211917749307048</v>
      </c>
      <c r="G133" s="81">
        <f t="shared" ca="1" si="11"/>
        <v>81.770637180744004</v>
      </c>
      <c r="H133" s="81">
        <f t="shared" ca="1" si="11"/>
        <v>77.553256982724804</v>
      </c>
      <c r="I133" s="81">
        <f t="shared" ca="1" si="11"/>
        <v>73.335876784705846</v>
      </c>
      <c r="J133" s="81">
        <f t="shared" ca="1" si="11"/>
        <v>77.160082380046802</v>
      </c>
      <c r="K133" s="81">
        <f t="shared" ca="1" si="11"/>
        <v>80.984287975388</v>
      </c>
      <c r="L133" s="81">
        <f t="shared" ca="1" si="11"/>
        <v>80.983995316666409</v>
      </c>
      <c r="M133" s="81">
        <f t="shared" ca="1" si="11"/>
        <v>80.983702657944804</v>
      </c>
      <c r="N133" s="81">
        <f t="shared" ca="1" si="11"/>
        <v>70.669619004553212</v>
      </c>
      <c r="O133" s="81">
        <f t="shared" ca="1" si="11"/>
        <v>60.355535351161997</v>
      </c>
      <c r="P133" s="81">
        <f t="shared" ca="1" si="11"/>
        <v>54.750303490086566</v>
      </c>
      <c r="Q133" s="81">
        <f t="shared" ca="1" si="11"/>
        <v>49.145071629011042</v>
      </c>
      <c r="R133" s="81">
        <f t="shared" ca="1" si="11"/>
        <v>42.325506233040244</v>
      </c>
      <c r="S133" s="81">
        <f t="shared" ca="1" si="11"/>
        <v>35.505940837069446</v>
      </c>
      <c r="T133" s="81">
        <f t="shared" ca="1" si="11"/>
        <v>0</v>
      </c>
    </row>
    <row r="134" spans="4:20" outlineLevel="1" x14ac:dyDescent="0.25">
      <c r="D134" s="77">
        <v>3.75</v>
      </c>
      <c r="E134" s="81">
        <f t="shared" ca="1" si="11"/>
        <v>70.279737737258728</v>
      </c>
      <c r="F134" s="81">
        <f t="shared" ca="1" si="11"/>
        <v>87.630435833652811</v>
      </c>
      <c r="G134" s="81">
        <f t="shared" ca="1" si="11"/>
        <v>104.98113393004719</v>
      </c>
      <c r="H134" s="81">
        <f t="shared" ca="1" si="11"/>
        <v>112.23133430891122</v>
      </c>
      <c r="I134" s="81">
        <f t="shared" ca="1" si="11"/>
        <v>119.48153468777521</v>
      </c>
      <c r="J134" s="81">
        <f t="shared" ca="1" si="11"/>
        <v>119.4920703252896</v>
      </c>
      <c r="K134" s="81">
        <f t="shared" ca="1" si="11"/>
        <v>119.50260596280401</v>
      </c>
      <c r="L134" s="81">
        <f t="shared" ca="1" si="11"/>
        <v>110.42445124036081</v>
      </c>
      <c r="M134" s="81">
        <f t="shared" ca="1" si="11"/>
        <v>101.34629651791761</v>
      </c>
      <c r="N134" s="81">
        <f t="shared" ca="1" si="11"/>
        <v>97.230632868038413</v>
      </c>
      <c r="O134" s="81">
        <f t="shared" ca="1" si="11"/>
        <v>93.114969218160013</v>
      </c>
      <c r="P134" s="81">
        <f t="shared" ca="1" si="11"/>
        <v>82.954374557984806</v>
      </c>
      <c r="Q134" s="81">
        <f t="shared" ca="1" si="11"/>
        <v>72.793779897810722</v>
      </c>
      <c r="R134" s="81">
        <f t="shared" ca="1" si="11"/>
        <v>65.848122368246251</v>
      </c>
      <c r="S134" s="81">
        <f t="shared" ca="1" si="11"/>
        <v>58.902464838681844</v>
      </c>
      <c r="T134" s="81">
        <f t="shared" ca="1" si="11"/>
        <v>0</v>
      </c>
    </row>
    <row r="135" spans="4:20" outlineLevel="1" x14ac:dyDescent="0.25">
      <c r="D135" s="77">
        <v>4.25</v>
      </c>
      <c r="E135" s="81">
        <f t="shared" ca="1" si="11"/>
        <v>87.906277156647207</v>
      </c>
      <c r="F135" s="81">
        <f t="shared" ca="1" si="11"/>
        <v>108.0489539179984</v>
      </c>
      <c r="G135" s="81">
        <f t="shared" ca="1" si="11"/>
        <v>128.1916306793504</v>
      </c>
      <c r="H135" s="81">
        <f t="shared" ca="1" si="11"/>
        <v>146.9094116350976</v>
      </c>
      <c r="I135" s="81">
        <f t="shared" ca="1" si="11"/>
        <v>165.62719259084483</v>
      </c>
      <c r="J135" s="81">
        <f t="shared" ca="1" si="11"/>
        <v>161.82405827053282</v>
      </c>
      <c r="K135" s="81">
        <f t="shared" ca="1" si="11"/>
        <v>158.02092395022001</v>
      </c>
      <c r="L135" s="81">
        <f t="shared" ca="1" si="11"/>
        <v>139.86490716405601</v>
      </c>
      <c r="M135" s="81">
        <f t="shared" ca="1" si="11"/>
        <v>121.70889037789121</v>
      </c>
      <c r="N135" s="81">
        <f t="shared" ca="1" si="11"/>
        <v>123.791646731524</v>
      </c>
      <c r="O135" s="81">
        <f t="shared" ca="1" si="11"/>
        <v>125.87440308515761</v>
      </c>
      <c r="P135" s="81">
        <f t="shared" ca="1" si="11"/>
        <v>111.158445625884</v>
      </c>
      <c r="Q135" s="81">
        <f t="shared" ca="1" si="11"/>
        <v>96.442488166610417</v>
      </c>
      <c r="R135" s="81">
        <f t="shared" ca="1" si="11"/>
        <v>89.370738503452003</v>
      </c>
      <c r="S135" s="81">
        <f t="shared" ca="1" si="11"/>
        <v>82.298988840294399</v>
      </c>
      <c r="T135" s="81">
        <f t="shared" ca="1" si="11"/>
        <v>0</v>
      </c>
    </row>
    <row r="136" spans="4:20" outlineLevel="1" x14ac:dyDescent="0.25">
      <c r="D136" s="77">
        <v>4.75</v>
      </c>
      <c r="E136" s="81">
        <f t="shared" ca="1" si="11"/>
        <v>104.8707170682552</v>
      </c>
      <c r="F136" s="81">
        <f t="shared" ca="1" si="11"/>
        <v>133.51688723959759</v>
      </c>
      <c r="G136" s="81">
        <f t="shared" ca="1" si="11"/>
        <v>162.16305741094001</v>
      </c>
      <c r="H136" s="81">
        <f t="shared" ca="1" si="11"/>
        <v>179.19047048391121</v>
      </c>
      <c r="I136" s="81">
        <f t="shared" ca="1" si="11"/>
        <v>196.21788355688162</v>
      </c>
      <c r="J136" s="81">
        <f t="shared" ca="1" si="11"/>
        <v>197.91010242124162</v>
      </c>
      <c r="K136" s="81">
        <f t="shared" ca="1" si="11"/>
        <v>199.60232128560162</v>
      </c>
      <c r="L136" s="81">
        <f t="shared" ca="1" si="11"/>
        <v>183.3084339204328</v>
      </c>
      <c r="M136" s="81">
        <f t="shared" ca="1" si="11"/>
        <v>167.01454655526481</v>
      </c>
      <c r="N136" s="81">
        <f t="shared" ca="1" si="11"/>
        <v>170.08184961665842</v>
      </c>
      <c r="O136" s="81">
        <f t="shared" ca="1" si="11"/>
        <v>173.14915267805202</v>
      </c>
      <c r="P136" s="81">
        <f t="shared" ca="1" si="11"/>
        <v>148.9200400818024</v>
      </c>
      <c r="Q136" s="81">
        <f t="shared" ca="1" si="11"/>
        <v>124.69092748555362</v>
      </c>
      <c r="R136" s="81">
        <f t="shared" ca="1" si="11"/>
        <v>108.38391328682719</v>
      </c>
      <c r="S136" s="81">
        <f t="shared" ca="1" si="11"/>
        <v>92.076899088100006</v>
      </c>
      <c r="T136" s="81">
        <f t="shared" ca="1" si="11"/>
        <v>0</v>
      </c>
    </row>
    <row r="137" spans="4:20" outlineLevel="1" x14ac:dyDescent="0.25">
      <c r="D137" s="77">
        <v>5.25</v>
      </c>
      <c r="E137" s="81">
        <f t="shared" ca="1" si="11"/>
        <v>121.835156979864</v>
      </c>
      <c r="F137" s="81">
        <f t="shared" ca="1" si="11"/>
        <v>158.98482056119761</v>
      </c>
      <c r="G137" s="81">
        <f t="shared" ca="1" si="11"/>
        <v>196.1344841425304</v>
      </c>
      <c r="H137" s="81">
        <f t="shared" ca="1" si="11"/>
        <v>202</v>
      </c>
      <c r="I137" s="81">
        <f t="shared" ca="1" si="11"/>
        <v>202</v>
      </c>
      <c r="J137" s="81">
        <f t="shared" ca="1" si="11"/>
        <v>202</v>
      </c>
      <c r="K137" s="81">
        <f t="shared" ca="1" si="11"/>
        <v>202</v>
      </c>
      <c r="L137" s="81">
        <f t="shared" ca="1" si="11"/>
        <v>202</v>
      </c>
      <c r="M137" s="81">
        <f t="shared" ca="1" si="11"/>
        <v>202</v>
      </c>
      <c r="N137" s="81">
        <f t="shared" ca="1" si="11"/>
        <v>202</v>
      </c>
      <c r="O137" s="81">
        <f t="shared" ca="1" si="11"/>
        <v>202</v>
      </c>
      <c r="P137" s="81">
        <f t="shared" ca="1" si="11"/>
        <v>186.68163453772161</v>
      </c>
      <c r="Q137" s="81">
        <f t="shared" ca="1" si="11"/>
        <v>152.93936680449681</v>
      </c>
      <c r="R137" s="81">
        <f t="shared" ca="1" si="11"/>
        <v>127.39708807020162</v>
      </c>
      <c r="S137" s="81">
        <f t="shared" ca="1" si="11"/>
        <v>101.8548093359064</v>
      </c>
      <c r="T137" s="81">
        <f t="shared" ca="1" si="11"/>
        <v>0</v>
      </c>
    </row>
    <row r="138" spans="4:20" outlineLevel="1" x14ac:dyDescent="0.25">
      <c r="D138" s="77">
        <v>5.75</v>
      </c>
      <c r="E138" s="81">
        <f t="shared" ca="1" si="11"/>
        <v>163.45907894045121</v>
      </c>
      <c r="F138" s="81">
        <f t="shared" ca="1" si="11"/>
        <v>202</v>
      </c>
      <c r="G138" s="81">
        <f t="shared" ca="1" si="11"/>
        <v>202</v>
      </c>
      <c r="H138" s="81">
        <f t="shared" ca="1" si="11"/>
        <v>202</v>
      </c>
      <c r="I138" s="81">
        <f t="shared" ca="1" si="11"/>
        <v>202</v>
      </c>
      <c r="J138" s="81">
        <f t="shared" ca="1" si="11"/>
        <v>202</v>
      </c>
      <c r="K138" s="81">
        <f t="shared" ca="1" si="11"/>
        <v>202</v>
      </c>
      <c r="L138" s="81">
        <f t="shared" ca="1" si="11"/>
        <v>202</v>
      </c>
      <c r="M138" s="81">
        <f t="shared" ca="1" si="11"/>
        <v>202</v>
      </c>
      <c r="N138" s="81">
        <f t="shared" ca="1" si="11"/>
        <v>202</v>
      </c>
      <c r="O138" s="81">
        <f t="shared" ca="1" si="11"/>
        <v>202</v>
      </c>
      <c r="P138" s="81">
        <f t="shared" ca="1" si="11"/>
        <v>202</v>
      </c>
      <c r="Q138" s="81">
        <f t="shared" ca="1" si="11"/>
        <v>162.41129444929197</v>
      </c>
      <c r="R138" s="81">
        <f t="shared" ca="1" si="11"/>
        <v>145.10518939400239</v>
      </c>
      <c r="S138" s="81">
        <f t="shared" ca="1" si="11"/>
        <v>127.79908433871202</v>
      </c>
      <c r="T138" s="81">
        <f t="shared" ca="1" si="11"/>
        <v>0</v>
      </c>
    </row>
    <row r="139" spans="4:20" outlineLevel="1" x14ac:dyDescent="0.25">
      <c r="D139" s="77">
        <v>6.25</v>
      </c>
      <c r="E139" s="81">
        <f t="shared" ca="1" si="11"/>
        <v>202</v>
      </c>
      <c r="F139" s="81">
        <f t="shared" ca="1" si="11"/>
        <v>202</v>
      </c>
      <c r="G139" s="81">
        <f t="shared" ca="1" si="11"/>
        <v>202</v>
      </c>
      <c r="H139" s="81">
        <f t="shared" ca="1" si="11"/>
        <v>202</v>
      </c>
      <c r="I139" s="81">
        <f t="shared" ca="1" si="11"/>
        <v>202</v>
      </c>
      <c r="J139" s="81">
        <f t="shared" ca="1" si="11"/>
        <v>202</v>
      </c>
      <c r="K139" s="81">
        <f t="shared" ca="1" si="11"/>
        <v>202</v>
      </c>
      <c r="L139" s="81">
        <f t="shared" ca="1" si="11"/>
        <v>202</v>
      </c>
      <c r="M139" s="81">
        <f t="shared" ca="1" si="11"/>
        <v>202</v>
      </c>
      <c r="N139" s="81">
        <f t="shared" ca="1" si="11"/>
        <v>202</v>
      </c>
      <c r="O139" s="81">
        <f t="shared" ca="1" si="11"/>
        <v>202</v>
      </c>
      <c r="P139" s="81">
        <f t="shared" ca="1" si="11"/>
        <v>202</v>
      </c>
      <c r="Q139" s="81">
        <f t="shared" ca="1" si="11"/>
        <v>171.88322209408801</v>
      </c>
      <c r="R139" s="81">
        <f t="shared" ca="1" si="11"/>
        <v>162.8132907178032</v>
      </c>
      <c r="S139" s="81">
        <f t="shared" ca="1" si="11"/>
        <v>153.74335934151759</v>
      </c>
      <c r="T139" s="81">
        <f t="shared" ca="1" si="11"/>
        <v>0</v>
      </c>
    </row>
    <row r="140" spans="4:20" outlineLevel="1" x14ac:dyDescent="0.25">
      <c r="D140" s="77">
        <v>6.75</v>
      </c>
      <c r="E140" s="81">
        <f t="shared" ca="1" si="11"/>
        <v>202</v>
      </c>
      <c r="F140" s="81">
        <f t="shared" ca="1" si="11"/>
        <v>202</v>
      </c>
      <c r="G140" s="81">
        <f t="shared" ca="1" si="11"/>
        <v>202</v>
      </c>
      <c r="H140" s="81">
        <f t="shared" ca="1" si="11"/>
        <v>202</v>
      </c>
      <c r="I140" s="81">
        <f t="shared" ca="1" si="11"/>
        <v>202</v>
      </c>
      <c r="J140" s="81">
        <f t="shared" ca="1" si="11"/>
        <v>202</v>
      </c>
      <c r="K140" s="81">
        <f t="shared" ca="1" si="11"/>
        <v>202</v>
      </c>
      <c r="L140" s="81">
        <f t="shared" ca="1" si="11"/>
        <v>202</v>
      </c>
      <c r="M140" s="81">
        <f t="shared" ca="1" si="11"/>
        <v>202</v>
      </c>
      <c r="N140" s="81">
        <f t="shared" ca="1" si="11"/>
        <v>202</v>
      </c>
      <c r="O140" s="81">
        <f t="shared" ca="1" si="11"/>
        <v>202</v>
      </c>
      <c r="P140" s="81">
        <f t="shared" ca="1" si="11"/>
        <v>202</v>
      </c>
      <c r="Q140" s="81">
        <f t="shared" ca="1" si="11"/>
        <v>171.88322209408801</v>
      </c>
      <c r="R140" s="81">
        <f t="shared" ca="1" si="11"/>
        <v>162.8132907178032</v>
      </c>
      <c r="S140" s="81">
        <f t="shared" ca="1" si="11"/>
        <v>153.74335934151759</v>
      </c>
      <c r="T140" s="81">
        <f t="shared" ca="1" si="11"/>
        <v>0</v>
      </c>
    </row>
    <row r="141" spans="4:20" outlineLevel="1" x14ac:dyDescent="0.25">
      <c r="D141" s="77">
        <v>7.25</v>
      </c>
      <c r="E141" s="81">
        <f t="shared" ca="1" si="11"/>
        <v>202</v>
      </c>
      <c r="F141" s="81">
        <f t="shared" ca="1" si="11"/>
        <v>202</v>
      </c>
      <c r="G141" s="81">
        <f t="shared" ca="1" si="11"/>
        <v>202</v>
      </c>
      <c r="H141" s="81">
        <f t="shared" ca="1" si="11"/>
        <v>202</v>
      </c>
      <c r="I141" s="81">
        <f t="shared" ca="1" si="11"/>
        <v>202</v>
      </c>
      <c r="J141" s="81">
        <f t="shared" ca="1" si="11"/>
        <v>202</v>
      </c>
      <c r="K141" s="81">
        <f t="shared" ca="1" si="11"/>
        <v>202</v>
      </c>
      <c r="L141" s="81">
        <f t="shared" ca="1" si="11"/>
        <v>202</v>
      </c>
      <c r="M141" s="81">
        <f t="shared" ca="1" si="11"/>
        <v>202</v>
      </c>
      <c r="N141" s="81">
        <f t="shared" ca="1" si="11"/>
        <v>202</v>
      </c>
      <c r="O141" s="81">
        <f t="shared" ca="1" si="11"/>
        <v>202</v>
      </c>
      <c r="P141" s="81">
        <f t="shared" ca="1" si="11"/>
        <v>202</v>
      </c>
      <c r="Q141" s="81">
        <f t="shared" ca="1" si="11"/>
        <v>171.88322209408801</v>
      </c>
      <c r="R141" s="81">
        <f t="shared" ca="1" si="11"/>
        <v>162.8132907178032</v>
      </c>
      <c r="S141" s="81">
        <f t="shared" ca="1" si="11"/>
        <v>153.74335934151759</v>
      </c>
      <c r="T141" s="81">
        <f t="shared" ca="1" si="11"/>
        <v>0</v>
      </c>
    </row>
    <row r="142" spans="4:20" outlineLevel="1" x14ac:dyDescent="0.25">
      <c r="D142" s="77">
        <v>7.75</v>
      </c>
      <c r="E142" s="81">
        <f t="shared" ca="1" si="11"/>
        <v>202</v>
      </c>
      <c r="F142" s="81">
        <f t="shared" ca="1" si="11"/>
        <v>202</v>
      </c>
      <c r="G142" s="81">
        <f t="shared" ca="1" si="11"/>
        <v>202</v>
      </c>
      <c r="H142" s="81">
        <f t="shared" ca="1" si="11"/>
        <v>202</v>
      </c>
      <c r="I142" s="81">
        <f t="shared" ca="1" si="11"/>
        <v>202</v>
      </c>
      <c r="J142" s="81">
        <f t="shared" ca="1" si="11"/>
        <v>202</v>
      </c>
      <c r="K142" s="81">
        <f t="shared" ca="1" si="11"/>
        <v>202</v>
      </c>
      <c r="L142" s="81">
        <f t="shared" ca="1" si="11"/>
        <v>202</v>
      </c>
      <c r="M142" s="81">
        <f t="shared" ca="1" si="11"/>
        <v>202</v>
      </c>
      <c r="N142" s="81">
        <f t="shared" ca="1" si="11"/>
        <v>202</v>
      </c>
      <c r="O142" s="81">
        <f t="shared" ca="1" si="11"/>
        <v>202</v>
      </c>
      <c r="P142" s="81">
        <f t="shared" ca="1" si="11"/>
        <v>202</v>
      </c>
      <c r="Q142" s="81">
        <f t="shared" ca="1" si="11"/>
        <v>171.88322209408801</v>
      </c>
      <c r="R142" s="81">
        <f t="shared" ca="1" si="11"/>
        <v>162.8132907178032</v>
      </c>
      <c r="S142" s="81">
        <f t="shared" ca="1" si="11"/>
        <v>153.74335934151759</v>
      </c>
      <c r="T142" s="81">
        <f t="shared" ca="1" si="11"/>
        <v>0</v>
      </c>
    </row>
    <row r="143" spans="4:20" outlineLevel="1" x14ac:dyDescent="0.25">
      <c r="D143" s="77">
        <v>8.25</v>
      </c>
      <c r="E143" s="81">
        <f t="shared" ca="1" si="11"/>
        <v>202</v>
      </c>
      <c r="F143" s="81">
        <f t="shared" ca="1" si="11"/>
        <v>202</v>
      </c>
      <c r="G143" s="81">
        <f t="shared" ca="1" si="11"/>
        <v>202</v>
      </c>
      <c r="H143" s="81">
        <f t="shared" ca="1" si="11"/>
        <v>202</v>
      </c>
      <c r="I143" s="81">
        <f t="shared" ca="1" si="11"/>
        <v>202</v>
      </c>
      <c r="J143" s="81">
        <f t="shared" ca="1" si="11"/>
        <v>202</v>
      </c>
      <c r="K143" s="81">
        <f t="shared" ca="1" si="11"/>
        <v>202</v>
      </c>
      <c r="L143" s="81">
        <f t="shared" ca="1" si="11"/>
        <v>202</v>
      </c>
      <c r="M143" s="81">
        <f t="shared" ca="1" si="11"/>
        <v>202</v>
      </c>
      <c r="N143" s="81">
        <f t="shared" ca="1" si="11"/>
        <v>202</v>
      </c>
      <c r="O143" s="81">
        <f t="shared" ca="1" si="11"/>
        <v>202</v>
      </c>
      <c r="P143" s="81">
        <f t="shared" ca="1" si="11"/>
        <v>202</v>
      </c>
      <c r="Q143" s="81">
        <f t="shared" ca="1" si="11"/>
        <v>171.88322209408801</v>
      </c>
      <c r="R143" s="81">
        <f t="shared" ca="1" si="11"/>
        <v>162.8132907178032</v>
      </c>
      <c r="S143" s="81">
        <f t="shared" ca="1" si="11"/>
        <v>153.74335934151759</v>
      </c>
      <c r="T143" s="81">
        <f t="shared" ca="1" si="11"/>
        <v>0</v>
      </c>
    </row>
    <row r="144" spans="4:20" outlineLevel="1" x14ac:dyDescent="0.25">
      <c r="D144" s="77">
        <v>8.75</v>
      </c>
      <c r="E144" s="81">
        <f t="shared" ca="1" si="11"/>
        <v>202</v>
      </c>
      <c r="F144" s="81">
        <f t="shared" ca="1" si="11"/>
        <v>202</v>
      </c>
      <c r="G144" s="81">
        <f t="shared" ca="1" si="11"/>
        <v>202</v>
      </c>
      <c r="H144" s="81">
        <f t="shared" ca="1" si="11"/>
        <v>202</v>
      </c>
      <c r="I144" s="81">
        <f t="shared" ca="1" si="11"/>
        <v>202</v>
      </c>
      <c r="J144" s="81">
        <f t="shared" ca="1" si="11"/>
        <v>202</v>
      </c>
      <c r="K144" s="81">
        <f t="shared" ca="1" si="11"/>
        <v>202</v>
      </c>
      <c r="L144" s="81">
        <f t="shared" ca="1" si="11"/>
        <v>202</v>
      </c>
      <c r="M144" s="81">
        <f t="shared" ca="1" si="11"/>
        <v>202</v>
      </c>
      <c r="N144" s="81">
        <f t="shared" ca="1" si="11"/>
        <v>202</v>
      </c>
      <c r="O144" s="81">
        <f t="shared" ca="1" si="11"/>
        <v>202</v>
      </c>
      <c r="P144" s="81">
        <f t="shared" ca="1" si="11"/>
        <v>202</v>
      </c>
      <c r="Q144" s="81">
        <f t="shared" ca="1" si="11"/>
        <v>171.88322209408801</v>
      </c>
      <c r="R144" s="81">
        <f t="shared" ca="1" si="11"/>
        <v>162.8132907178032</v>
      </c>
      <c r="S144" s="81">
        <f t="shared" ca="1" si="11"/>
        <v>153.74335934151759</v>
      </c>
      <c r="T144" s="81">
        <f ca="1">MIN(T120,$G$13)</f>
        <v>0</v>
      </c>
    </row>
    <row r="145" spans="1:21" outlineLevel="1" x14ac:dyDescent="0.25">
      <c r="D145" s="77">
        <v>9.25</v>
      </c>
      <c r="E145" s="81">
        <f t="shared" ref="E145:T146" ca="1" si="12">MIN(E121,$G$13)</f>
        <v>202</v>
      </c>
      <c r="F145" s="81">
        <f t="shared" ca="1" si="12"/>
        <v>202</v>
      </c>
      <c r="G145" s="81">
        <f t="shared" ca="1" si="12"/>
        <v>202</v>
      </c>
      <c r="H145" s="81">
        <f t="shared" ca="1" si="12"/>
        <v>202</v>
      </c>
      <c r="I145" s="81">
        <f t="shared" ca="1" si="12"/>
        <v>202</v>
      </c>
      <c r="J145" s="81">
        <f t="shared" ca="1" si="12"/>
        <v>202</v>
      </c>
      <c r="K145" s="81">
        <f t="shared" ca="1" si="12"/>
        <v>202</v>
      </c>
      <c r="L145" s="81">
        <f t="shared" ca="1" si="12"/>
        <v>202</v>
      </c>
      <c r="M145" s="81">
        <f t="shared" ca="1" si="12"/>
        <v>202</v>
      </c>
      <c r="N145" s="81">
        <f t="shared" ca="1" si="12"/>
        <v>202</v>
      </c>
      <c r="O145" s="81">
        <f t="shared" ca="1" si="12"/>
        <v>202</v>
      </c>
      <c r="P145" s="81">
        <f t="shared" ca="1" si="12"/>
        <v>202</v>
      </c>
      <c r="Q145" s="81">
        <f t="shared" ca="1" si="12"/>
        <v>171.88322209408801</v>
      </c>
      <c r="R145" s="81">
        <f t="shared" ca="1" si="12"/>
        <v>162.8132907178032</v>
      </c>
      <c r="S145" s="81">
        <f t="shared" ca="1" si="12"/>
        <v>153.74335934151759</v>
      </c>
      <c r="T145" s="81">
        <f t="shared" ca="1" si="12"/>
        <v>0</v>
      </c>
    </row>
    <row r="146" spans="1:21" outlineLevel="1" x14ac:dyDescent="0.25">
      <c r="D146" s="77">
        <v>9.75</v>
      </c>
      <c r="E146" s="81">
        <f t="shared" ca="1" si="12"/>
        <v>202</v>
      </c>
      <c r="F146" s="81">
        <f t="shared" ca="1" si="12"/>
        <v>202</v>
      </c>
      <c r="G146" s="81">
        <f t="shared" ca="1" si="12"/>
        <v>202</v>
      </c>
      <c r="H146" s="81">
        <f t="shared" ca="1" si="12"/>
        <v>202</v>
      </c>
      <c r="I146" s="81">
        <f t="shared" ca="1" si="12"/>
        <v>202</v>
      </c>
      <c r="J146" s="81">
        <f t="shared" ca="1" si="12"/>
        <v>202</v>
      </c>
      <c r="K146" s="81">
        <f t="shared" ca="1" si="12"/>
        <v>202</v>
      </c>
      <c r="L146" s="81">
        <f t="shared" ca="1" si="12"/>
        <v>202</v>
      </c>
      <c r="M146" s="81">
        <f t="shared" ca="1" si="12"/>
        <v>202</v>
      </c>
      <c r="N146" s="81">
        <f t="shared" ca="1" si="12"/>
        <v>202</v>
      </c>
      <c r="O146" s="81">
        <f t="shared" ca="1" si="12"/>
        <v>202</v>
      </c>
      <c r="P146" s="81">
        <f t="shared" ca="1" si="12"/>
        <v>202</v>
      </c>
      <c r="Q146" s="81">
        <f t="shared" ca="1" si="12"/>
        <v>171.88322209408801</v>
      </c>
      <c r="R146" s="81">
        <f t="shared" ca="1" si="12"/>
        <v>162.8132907178032</v>
      </c>
      <c r="S146" s="81">
        <f t="shared" ca="1" si="12"/>
        <v>153.74335934151759</v>
      </c>
      <c r="T146" s="81">
        <f t="shared" ca="1" si="12"/>
        <v>0</v>
      </c>
    </row>
    <row r="147" spans="1:21" outlineLevel="1" x14ac:dyDescent="0.25">
      <c r="D147" s="77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</row>
    <row r="148" spans="1:21" outlineLevel="1" x14ac:dyDescent="0.25">
      <c r="A148" s="45" t="s">
        <v>144</v>
      </c>
      <c r="C148" s="68"/>
      <c r="D148" s="86"/>
      <c r="E148" s="87"/>
      <c r="F148" s="87"/>
      <c r="G148" s="87"/>
      <c r="H148" s="87"/>
      <c r="I148" s="87"/>
      <c r="J148" s="87"/>
      <c r="K148" s="87"/>
      <c r="L148" s="87"/>
    </row>
    <row r="150" spans="1:21" x14ac:dyDescent="0.25">
      <c r="C150" s="43" t="s">
        <v>149</v>
      </c>
    </row>
    <row r="151" spans="1:21" x14ac:dyDescent="0.25">
      <c r="C151" s="43" t="s">
        <v>150</v>
      </c>
    </row>
    <row r="154" spans="1:21" x14ac:dyDescent="0.25">
      <c r="A154" s="45" t="s">
        <v>153</v>
      </c>
    </row>
    <row r="155" spans="1:21" x14ac:dyDescent="0.25">
      <c r="E155" s="43" t="s">
        <v>152</v>
      </c>
      <c r="F155" s="51"/>
      <c r="G155" s="51"/>
      <c r="H155" s="51"/>
      <c r="I155" s="51"/>
      <c r="S155" s="74"/>
      <c r="T155" s="74"/>
    </row>
    <row r="156" spans="1:21" x14ac:dyDescent="0.25">
      <c r="D156" s="75"/>
      <c r="E156" s="76">
        <f>E126/0.86</f>
        <v>5.2325581395348841</v>
      </c>
      <c r="F156" s="76">
        <f t="shared" ref="F156:T156" si="13">F126/0.86</f>
        <v>6.3953488372093021</v>
      </c>
      <c r="G156" s="76">
        <f t="shared" si="13"/>
        <v>7.558139534883721</v>
      </c>
      <c r="H156" s="76">
        <f t="shared" si="13"/>
        <v>8.720930232558139</v>
      </c>
      <c r="I156" s="76">
        <f t="shared" si="13"/>
        <v>9.8837209302325579</v>
      </c>
      <c r="J156" s="76">
        <f t="shared" si="13"/>
        <v>11.046511627906977</v>
      </c>
      <c r="K156" s="76">
        <f t="shared" si="13"/>
        <v>12.209302325581396</v>
      </c>
      <c r="L156" s="76">
        <f t="shared" si="13"/>
        <v>13.372093023255815</v>
      </c>
      <c r="M156" s="76">
        <f t="shared" si="13"/>
        <v>14.534883720930234</v>
      </c>
      <c r="N156" s="76">
        <f t="shared" si="13"/>
        <v>15.697674418604651</v>
      </c>
      <c r="O156" s="76">
        <f t="shared" si="13"/>
        <v>16.86046511627907</v>
      </c>
      <c r="P156" s="76">
        <f t="shared" si="13"/>
        <v>18.02325581395349</v>
      </c>
      <c r="Q156" s="76">
        <f t="shared" si="13"/>
        <v>19.186046511627907</v>
      </c>
      <c r="R156" s="76">
        <f t="shared" si="13"/>
        <v>20.348837209302324</v>
      </c>
      <c r="S156" s="76">
        <f t="shared" si="13"/>
        <v>21.511627906976745</v>
      </c>
      <c r="T156" s="76">
        <f t="shared" si="13"/>
        <v>22.674418604651162</v>
      </c>
    </row>
    <row r="157" spans="1:21" x14ac:dyDescent="0.25">
      <c r="C157" s="43" t="s">
        <v>151</v>
      </c>
      <c r="D157" s="77">
        <f>D127*0.64</f>
        <v>0.16</v>
      </c>
      <c r="E157" s="81">
        <f>(1025/128)*(9.81/PI())^3*E$156^3*$D157^2/1000</f>
        <v>0.89423868309939181</v>
      </c>
      <c r="F157" s="81">
        <f t="shared" ref="F157:T172" si="14">(1025/128)*(9.81/PI())^3*F$156^3*$D157^2/1000</f>
        <v>1.6326909289510152</v>
      </c>
      <c r="G157" s="81">
        <f t="shared" si="14"/>
        <v>2.6949826979003615</v>
      </c>
      <c r="H157" s="81">
        <f t="shared" si="14"/>
        <v>4.1399939032379232</v>
      </c>
      <c r="I157" s="81">
        <f t="shared" si="14"/>
        <v>6.026604458254198</v>
      </c>
      <c r="J157" s="81">
        <f t="shared" si="14"/>
        <v>8.4136942762396796</v>
      </c>
      <c r="K157" s="81">
        <f t="shared" si="14"/>
        <v>11.360143270484865</v>
      </c>
      <c r="L157" s="81">
        <f t="shared" si="14"/>
        <v>14.924831354280245</v>
      </c>
      <c r="M157" s="81">
        <f t="shared" si="14"/>
        <v>19.166638440916323</v>
      </c>
      <c r="N157" s="81">
        <f t="shared" si="14"/>
        <v>24.144444443683572</v>
      </c>
      <c r="O157" s="81">
        <f t="shared" si="14"/>
        <v>29.917129275872512</v>
      </c>
      <c r="P157" s="81">
        <f t="shared" si="14"/>
        <v>36.543572850773643</v>
      </c>
      <c r="Q157" s="81">
        <f t="shared" si="14"/>
        <v>44.082655081677416</v>
      </c>
      <c r="R157" s="81">
        <f t="shared" si="14"/>
        <v>52.593255881874363</v>
      </c>
      <c r="S157" s="81">
        <f t="shared" si="14"/>
        <v>62.134255164654981</v>
      </c>
      <c r="T157" s="81">
        <f t="shared" si="14"/>
        <v>72.764532843309752</v>
      </c>
      <c r="U157" s="73"/>
    </row>
    <row r="158" spans="1:21" x14ac:dyDescent="0.25">
      <c r="D158" s="77">
        <f t="shared" ref="D158:D176" si="15">D128*0.64</f>
        <v>0.48</v>
      </c>
      <c r="E158" s="81">
        <f>(1025/128)*(9.81/PI())^3*E$156^3*$D158^2/1000</f>
        <v>8.0481481478945245</v>
      </c>
      <c r="F158" s="81">
        <f t="shared" si="14"/>
        <v>14.694218360559136</v>
      </c>
      <c r="G158" s="81">
        <f t="shared" si="14"/>
        <v>24.254844281103249</v>
      </c>
      <c r="H158" s="81">
        <f t="shared" si="14"/>
        <v>37.259945129141308</v>
      </c>
      <c r="I158" s="81">
        <f t="shared" si="14"/>
        <v>54.239440124287782</v>
      </c>
      <c r="J158" s="81">
        <f t="shared" si="14"/>
        <v>75.723248486157118</v>
      </c>
      <c r="K158" s="81">
        <f t="shared" si="14"/>
        <v>102.24128943436378</v>
      </c>
      <c r="L158" s="81">
        <f t="shared" si="14"/>
        <v>134.32348218852221</v>
      </c>
      <c r="M158" s="81">
        <f t="shared" si="14"/>
        <v>172.49974596824688</v>
      </c>
      <c r="N158" s="81">
        <f t="shared" si="14"/>
        <v>217.29999999315214</v>
      </c>
      <c r="O158" s="81">
        <f t="shared" si="14"/>
        <v>269.25416348285256</v>
      </c>
      <c r="P158" s="81">
        <f t="shared" si="14"/>
        <v>328.8921556569627</v>
      </c>
      <c r="Q158" s="81">
        <f t="shared" si="14"/>
        <v>396.74389573509671</v>
      </c>
      <c r="R158" s="81">
        <f t="shared" si="14"/>
        <v>473.33930293686922</v>
      </c>
      <c r="S158" s="81">
        <f t="shared" si="14"/>
        <v>559.20829648189476</v>
      </c>
      <c r="T158" s="81">
        <f t="shared" si="14"/>
        <v>654.88079558978779</v>
      </c>
      <c r="U158" s="73"/>
    </row>
    <row r="159" spans="1:21" x14ac:dyDescent="0.25">
      <c r="D159" s="77">
        <f t="shared" si="15"/>
        <v>0.8</v>
      </c>
      <c r="E159" s="81">
        <f t="shared" ref="E159:E176" si="16">(1025/128)*(9.81/PI())^3*E$156^3*$D159^2/1000</f>
        <v>22.355967077484799</v>
      </c>
      <c r="F159" s="81">
        <f t="shared" si="14"/>
        <v>40.817273223775388</v>
      </c>
      <c r="G159" s="81">
        <f t="shared" si="14"/>
        <v>67.374567447509051</v>
      </c>
      <c r="H159" s="81">
        <f t="shared" si="14"/>
        <v>103.4998475809481</v>
      </c>
      <c r="I159" s="81">
        <f t="shared" si="14"/>
        <v>150.66511145635499</v>
      </c>
      <c r="J159" s="81">
        <f t="shared" si="14"/>
        <v>210.34235690599203</v>
      </c>
      <c r="K159" s="81">
        <f t="shared" si="14"/>
        <v>284.00358176212171</v>
      </c>
      <c r="L159" s="81">
        <f t="shared" si="14"/>
        <v>373.12078385700624</v>
      </c>
      <c r="M159" s="81">
        <f t="shared" si="14"/>
        <v>479.16596102290811</v>
      </c>
      <c r="N159" s="81">
        <f t="shared" si="14"/>
        <v>603.61111109208935</v>
      </c>
      <c r="O159" s="81">
        <f t="shared" si="14"/>
        <v>747.92823189681292</v>
      </c>
      <c r="P159" s="81">
        <f t="shared" si="14"/>
        <v>913.58932126934121</v>
      </c>
      <c r="Q159" s="81">
        <f t="shared" si="14"/>
        <v>1102.0663770419355</v>
      </c>
      <c r="R159" s="81">
        <f t="shared" si="14"/>
        <v>1314.8313970468591</v>
      </c>
      <c r="S159" s="81">
        <f t="shared" si="14"/>
        <v>1553.3563791163747</v>
      </c>
      <c r="T159" s="81">
        <f t="shared" si="14"/>
        <v>1819.1133210827441</v>
      </c>
      <c r="U159" s="73"/>
    </row>
    <row r="160" spans="1:21" x14ac:dyDescent="0.25">
      <c r="D160" s="77">
        <f t="shared" si="15"/>
        <v>1.1200000000000001</v>
      </c>
      <c r="E160" s="81">
        <f t="shared" si="16"/>
        <v>43.817695471870195</v>
      </c>
      <c r="F160" s="81">
        <f t="shared" si="14"/>
        <v>80.001855518599754</v>
      </c>
      <c r="G160" s="81">
        <f t="shared" si="14"/>
        <v>132.0541521971177</v>
      </c>
      <c r="H160" s="81">
        <f t="shared" si="14"/>
        <v>202.85970125865825</v>
      </c>
      <c r="I160" s="81">
        <f t="shared" si="14"/>
        <v>295.30361845445577</v>
      </c>
      <c r="J160" s="81">
        <f t="shared" si="14"/>
        <v>412.27101953574441</v>
      </c>
      <c r="K160" s="81">
        <f t="shared" si="14"/>
        <v>556.64702025375846</v>
      </c>
      <c r="L160" s="81">
        <f t="shared" si="14"/>
        <v>731.31673635973209</v>
      </c>
      <c r="M160" s="81">
        <f t="shared" si="14"/>
        <v>939.16528360489986</v>
      </c>
      <c r="N160" s="81">
        <f t="shared" si="14"/>
        <v>1183.0777777404951</v>
      </c>
      <c r="O160" s="81">
        <f t="shared" si="14"/>
        <v>1465.9393345177532</v>
      </c>
      <c r="P160" s="81">
        <f t="shared" si="14"/>
        <v>1790.6350696879085</v>
      </c>
      <c r="Q160" s="81">
        <f t="shared" si="14"/>
        <v>2160.0500990021937</v>
      </c>
      <c r="R160" s="81">
        <f t="shared" si="14"/>
        <v>2577.0695382118438</v>
      </c>
      <c r="S160" s="81">
        <f t="shared" si="14"/>
        <v>3044.5785030680945</v>
      </c>
      <c r="T160" s="81">
        <f t="shared" si="14"/>
        <v>3565.4621093221781</v>
      </c>
      <c r="U160" s="73"/>
    </row>
    <row r="161" spans="4:21" x14ac:dyDescent="0.25">
      <c r="D161" s="77">
        <f t="shared" si="15"/>
        <v>1.44</v>
      </c>
      <c r="E161" s="81">
        <f t="shared" si="16"/>
        <v>72.433333331050733</v>
      </c>
      <c r="F161" s="81">
        <f t="shared" si="14"/>
        <v>132.24796524503222</v>
      </c>
      <c r="G161" s="81">
        <f t="shared" si="14"/>
        <v>218.29359852992923</v>
      </c>
      <c r="H161" s="81">
        <f t="shared" si="14"/>
        <v>335.33950616227179</v>
      </c>
      <c r="I161" s="81">
        <f t="shared" si="14"/>
        <v>488.15496111859005</v>
      </c>
      <c r="J161" s="81">
        <f t="shared" si="14"/>
        <v>681.50923637541405</v>
      </c>
      <c r="K161" s="81">
        <f t="shared" si="14"/>
        <v>920.17160490927404</v>
      </c>
      <c r="L161" s="81">
        <f t="shared" si="14"/>
        <v>1208.9113396966998</v>
      </c>
      <c r="M161" s="81">
        <f t="shared" si="14"/>
        <v>1552.4977137142218</v>
      </c>
      <c r="N161" s="81">
        <f t="shared" si="14"/>
        <v>1955.699999938369</v>
      </c>
      <c r="O161" s="81">
        <f t="shared" si="14"/>
        <v>2423.2874713456731</v>
      </c>
      <c r="P161" s="81">
        <f t="shared" si="14"/>
        <v>2960.0294009126642</v>
      </c>
      <c r="Q161" s="81">
        <f t="shared" si="14"/>
        <v>3570.6950616158701</v>
      </c>
      <c r="R161" s="81">
        <f t="shared" si="14"/>
        <v>4260.0537264318227</v>
      </c>
      <c r="S161" s="81">
        <f t="shared" si="14"/>
        <v>5032.8746683370537</v>
      </c>
      <c r="T161" s="81">
        <f t="shared" si="14"/>
        <v>5893.9271603080888</v>
      </c>
      <c r="U161" s="73"/>
    </row>
    <row r="162" spans="4:21" x14ac:dyDescent="0.25">
      <c r="D162" s="77">
        <f t="shared" si="15"/>
        <v>1.76</v>
      </c>
      <c r="E162" s="81">
        <f t="shared" si="16"/>
        <v>108.20288065502638</v>
      </c>
      <c r="F162" s="81">
        <f t="shared" si="14"/>
        <v>197.55560240307281</v>
      </c>
      <c r="G162" s="81">
        <f t="shared" si="14"/>
        <v>326.0929064459437</v>
      </c>
      <c r="H162" s="81">
        <f t="shared" si="14"/>
        <v>500.93926229178868</v>
      </c>
      <c r="I162" s="81">
        <f t="shared" si="14"/>
        <v>729.21913944875803</v>
      </c>
      <c r="J162" s="81">
        <f t="shared" si="14"/>
        <v>1018.0570074250012</v>
      </c>
      <c r="K162" s="81">
        <f t="shared" si="14"/>
        <v>1374.5773357286687</v>
      </c>
      <c r="L162" s="81">
        <f t="shared" si="14"/>
        <v>1805.9045938679096</v>
      </c>
      <c r="M162" s="81">
        <f t="shared" si="14"/>
        <v>2319.1632513508744</v>
      </c>
      <c r="N162" s="81">
        <f t="shared" si="14"/>
        <v>2921.4777776857122</v>
      </c>
      <c r="O162" s="81">
        <f t="shared" si="14"/>
        <v>3619.9726423805737</v>
      </c>
      <c r="P162" s="81">
        <f t="shared" si="14"/>
        <v>4421.7723149436097</v>
      </c>
      <c r="Q162" s="81">
        <f t="shared" si="14"/>
        <v>5334.001264882967</v>
      </c>
      <c r="R162" s="81">
        <f t="shared" si="14"/>
        <v>6363.7839617067975</v>
      </c>
      <c r="S162" s="81">
        <f t="shared" si="14"/>
        <v>7518.2448749232526</v>
      </c>
      <c r="T162" s="81">
        <f t="shared" si="14"/>
        <v>8804.5084740404782</v>
      </c>
      <c r="U162" s="73"/>
    </row>
    <row r="163" spans="4:21" x14ac:dyDescent="0.25">
      <c r="D163" s="77">
        <f t="shared" si="15"/>
        <v>2.08</v>
      </c>
      <c r="E163" s="81">
        <f t="shared" si="16"/>
        <v>151.12633744379721</v>
      </c>
      <c r="F163" s="81">
        <f t="shared" si="14"/>
        <v>275.92476699272157</v>
      </c>
      <c r="G163" s="81">
        <f t="shared" si="14"/>
        <v>455.45207594516108</v>
      </c>
      <c r="H163" s="81">
        <f t="shared" si="14"/>
        <v>699.65896964720912</v>
      </c>
      <c r="I163" s="81">
        <f t="shared" si="14"/>
        <v>1018.4961534449595</v>
      </c>
      <c r="J163" s="81">
        <f t="shared" si="14"/>
        <v>1421.914332684506</v>
      </c>
      <c r="K163" s="81">
        <f t="shared" si="14"/>
        <v>1919.8642127119424</v>
      </c>
      <c r="L163" s="81">
        <f t="shared" si="14"/>
        <v>2522.296498873362</v>
      </c>
      <c r="M163" s="81">
        <f t="shared" si="14"/>
        <v>3239.1618965148587</v>
      </c>
      <c r="N163" s="81">
        <f t="shared" si="14"/>
        <v>4080.411110982524</v>
      </c>
      <c r="O163" s="81">
        <f t="shared" si="14"/>
        <v>5055.9948476224554</v>
      </c>
      <c r="P163" s="81">
        <f t="shared" si="14"/>
        <v>6175.863811780745</v>
      </c>
      <c r="Q163" s="81">
        <f t="shared" si="14"/>
        <v>7449.9687088034834</v>
      </c>
      <c r="R163" s="81">
        <f t="shared" si="14"/>
        <v>8888.2602440367682</v>
      </c>
      <c r="S163" s="81">
        <f t="shared" si="14"/>
        <v>10500.689122826694</v>
      </c>
      <c r="T163" s="81">
        <f t="shared" si="14"/>
        <v>12297.206050519349</v>
      </c>
      <c r="U163" s="73"/>
    </row>
    <row r="164" spans="4:21" x14ac:dyDescent="0.25">
      <c r="D164" s="77">
        <f t="shared" si="15"/>
        <v>2.4</v>
      </c>
      <c r="E164" s="81">
        <f t="shared" si="16"/>
        <v>201.20370369736312</v>
      </c>
      <c r="F164" s="81">
        <f t="shared" si="14"/>
        <v>367.35545901397836</v>
      </c>
      <c r="G164" s="81">
        <f t="shared" si="14"/>
        <v>606.37110702758116</v>
      </c>
      <c r="H164" s="81">
        <f t="shared" si="14"/>
        <v>931.49862822853277</v>
      </c>
      <c r="I164" s="81">
        <f t="shared" si="14"/>
        <v>1355.9860031071946</v>
      </c>
      <c r="J164" s="81">
        <f t="shared" si="14"/>
        <v>1893.0812121539279</v>
      </c>
      <c r="K164" s="81">
        <f t="shared" si="14"/>
        <v>2556.0322358590947</v>
      </c>
      <c r="L164" s="81">
        <f t="shared" si="14"/>
        <v>3358.0870547130548</v>
      </c>
      <c r="M164" s="81">
        <f t="shared" si="14"/>
        <v>4312.4936492061715</v>
      </c>
      <c r="N164" s="81">
        <f t="shared" si="14"/>
        <v>5432.4999998288031</v>
      </c>
      <c r="O164" s="81">
        <f t="shared" si="14"/>
        <v>6731.3540870713141</v>
      </c>
      <c r="P164" s="81">
        <f t="shared" si="14"/>
        <v>8222.3038914240678</v>
      </c>
      <c r="Q164" s="81">
        <f t="shared" si="14"/>
        <v>9918.5973933774185</v>
      </c>
      <c r="R164" s="81">
        <f t="shared" si="14"/>
        <v>11833.48257342173</v>
      </c>
      <c r="S164" s="81">
        <f t="shared" si="14"/>
        <v>13980.207412047372</v>
      </c>
      <c r="T164" s="81">
        <f t="shared" si="14"/>
        <v>16372.019889744694</v>
      </c>
      <c r="U164" s="73"/>
    </row>
    <row r="165" spans="4:21" x14ac:dyDescent="0.25">
      <c r="D165" s="77">
        <f t="shared" si="15"/>
        <v>2.72</v>
      </c>
      <c r="E165" s="81">
        <f t="shared" si="16"/>
        <v>258.43497941572429</v>
      </c>
      <c r="F165" s="81">
        <f t="shared" si="14"/>
        <v>471.84767846684343</v>
      </c>
      <c r="G165" s="81">
        <f t="shared" si="14"/>
        <v>778.8499996932045</v>
      </c>
      <c r="H165" s="81">
        <f t="shared" si="14"/>
        <v>1196.4582380357601</v>
      </c>
      <c r="I165" s="81">
        <f t="shared" si="14"/>
        <v>1741.6886884354635</v>
      </c>
      <c r="J165" s="81">
        <f t="shared" si="14"/>
        <v>2431.557645833268</v>
      </c>
      <c r="K165" s="81">
        <f t="shared" si="14"/>
        <v>3283.0814051701263</v>
      </c>
      <c r="L165" s="81">
        <f t="shared" si="14"/>
        <v>4313.2762613869918</v>
      </c>
      <c r="M165" s="81">
        <f t="shared" si="14"/>
        <v>5539.1585094248176</v>
      </c>
      <c r="N165" s="81">
        <f t="shared" si="14"/>
        <v>6977.7444442245533</v>
      </c>
      <c r="O165" s="81">
        <f t="shared" si="14"/>
        <v>8646.0503607271567</v>
      </c>
      <c r="P165" s="81">
        <f t="shared" si="14"/>
        <v>10561.092553873583</v>
      </c>
      <c r="Q165" s="81">
        <f t="shared" si="14"/>
        <v>12739.887318604775</v>
      </c>
      <c r="R165" s="81">
        <f t="shared" si="14"/>
        <v>15199.450949861692</v>
      </c>
      <c r="S165" s="81">
        <f t="shared" si="14"/>
        <v>17956.799742585295</v>
      </c>
      <c r="T165" s="81">
        <f t="shared" si="14"/>
        <v>21028.949991716523</v>
      </c>
      <c r="U165" s="73"/>
    </row>
    <row r="166" spans="4:21" x14ac:dyDescent="0.25">
      <c r="D166" s="77">
        <f t="shared" si="15"/>
        <v>3.04</v>
      </c>
      <c r="E166" s="81">
        <f t="shared" si="16"/>
        <v>322.82016459888041</v>
      </c>
      <c r="F166" s="81">
        <f t="shared" si="14"/>
        <v>589.40142535131645</v>
      </c>
      <c r="G166" s="81">
        <f t="shared" si="14"/>
        <v>972.88875394203035</v>
      </c>
      <c r="H166" s="81">
        <f t="shared" si="14"/>
        <v>1494.5377990688903</v>
      </c>
      <c r="I166" s="81">
        <f t="shared" si="14"/>
        <v>2175.6042094297654</v>
      </c>
      <c r="J166" s="81">
        <f t="shared" si="14"/>
        <v>3037.3436337225248</v>
      </c>
      <c r="K166" s="81">
        <f t="shared" si="14"/>
        <v>4101.0117206450359</v>
      </c>
      <c r="L166" s="81">
        <f t="shared" si="14"/>
        <v>5387.8641188951688</v>
      </c>
      <c r="M166" s="81">
        <f t="shared" si="14"/>
        <v>6919.1564771707917</v>
      </c>
      <c r="N166" s="81">
        <f t="shared" si="14"/>
        <v>8716.1444441697695</v>
      </c>
      <c r="O166" s="81">
        <f t="shared" si="14"/>
        <v>10800.083668589976</v>
      </c>
      <c r="P166" s="81">
        <f t="shared" si="14"/>
        <v>13192.229799129283</v>
      </c>
      <c r="Q166" s="81">
        <f t="shared" si="14"/>
        <v>15913.838484485546</v>
      </c>
      <c r="R166" s="81">
        <f t="shared" si="14"/>
        <v>18986.165373356645</v>
      </c>
      <c r="S166" s="81">
        <f t="shared" si="14"/>
        <v>22430.466114440449</v>
      </c>
      <c r="T166" s="81">
        <f t="shared" si="14"/>
        <v>26267.996356434818</v>
      </c>
      <c r="U166" s="73"/>
    </row>
    <row r="167" spans="4:21" x14ac:dyDescent="0.25">
      <c r="D167" s="77">
        <f t="shared" si="15"/>
        <v>3.36</v>
      </c>
      <c r="E167" s="81">
        <f t="shared" si="16"/>
        <v>394.3592592468317</v>
      </c>
      <c r="F167" s="81">
        <f t="shared" si="14"/>
        <v>720.01669966739757</v>
      </c>
      <c r="G167" s="81">
        <f t="shared" si="14"/>
        <v>1188.4873697740591</v>
      </c>
      <c r="H167" s="81">
        <f t="shared" si="14"/>
        <v>1825.7373113279239</v>
      </c>
      <c r="I167" s="81">
        <f t="shared" si="14"/>
        <v>2657.732566090101</v>
      </c>
      <c r="J167" s="81">
        <f t="shared" si="14"/>
        <v>3710.4391758216984</v>
      </c>
      <c r="K167" s="81">
        <f t="shared" si="14"/>
        <v>5009.8231822838243</v>
      </c>
      <c r="L167" s="81">
        <f t="shared" si="14"/>
        <v>6581.8506272375871</v>
      </c>
      <c r="M167" s="81">
        <f t="shared" si="14"/>
        <v>8452.4875524440959</v>
      </c>
      <c r="N167" s="81">
        <f t="shared" si="14"/>
        <v>10647.699999664454</v>
      </c>
      <c r="O167" s="81">
        <f t="shared" si="14"/>
        <v>13193.454010659774</v>
      </c>
      <c r="P167" s="81">
        <f t="shared" si="14"/>
        <v>16115.715627191174</v>
      </c>
      <c r="Q167" s="81">
        <f t="shared" si="14"/>
        <v>19440.450891019736</v>
      </c>
      <c r="R167" s="81">
        <f t="shared" si="14"/>
        <v>23193.62584390659</v>
      </c>
      <c r="S167" s="81">
        <f t="shared" si="14"/>
        <v>27401.206527612841</v>
      </c>
      <c r="T167" s="81">
        <f t="shared" si="14"/>
        <v>32089.158983899593</v>
      </c>
      <c r="U167" s="73"/>
    </row>
    <row r="168" spans="4:21" x14ac:dyDescent="0.25">
      <c r="D168" s="77">
        <f t="shared" si="15"/>
        <v>3.68</v>
      </c>
      <c r="E168" s="81">
        <f t="shared" si="16"/>
        <v>473.05226335957821</v>
      </c>
      <c r="F168" s="81">
        <f t="shared" si="14"/>
        <v>863.69350141508698</v>
      </c>
      <c r="G168" s="81">
        <f t="shared" si="14"/>
        <v>1425.6458471892911</v>
      </c>
      <c r="H168" s="81">
        <f t="shared" si="14"/>
        <v>2190.0567748128615</v>
      </c>
      <c r="I168" s="81">
        <f t="shared" si="14"/>
        <v>3188.0737584164713</v>
      </c>
      <c r="J168" s="81">
        <f t="shared" si="14"/>
        <v>4450.8442721307911</v>
      </c>
      <c r="K168" s="81">
        <f t="shared" si="14"/>
        <v>6009.5157900864942</v>
      </c>
      <c r="L168" s="81">
        <f t="shared" si="14"/>
        <v>7895.2357864142496</v>
      </c>
      <c r="M168" s="81">
        <f t="shared" si="14"/>
        <v>10139.151735244734</v>
      </c>
      <c r="N168" s="81">
        <f t="shared" si="14"/>
        <v>12772.41111070861</v>
      </c>
      <c r="O168" s="81">
        <f t="shared" si="14"/>
        <v>15826.161386936559</v>
      </c>
      <c r="P168" s="81">
        <f t="shared" si="14"/>
        <v>19331.550038059257</v>
      </c>
      <c r="Q168" s="81">
        <f t="shared" si="14"/>
        <v>23319.724538207352</v>
      </c>
      <c r="R168" s="81">
        <f t="shared" si="14"/>
        <v>27821.832361511537</v>
      </c>
      <c r="S168" s="81">
        <f t="shared" si="14"/>
        <v>32869.020982102484</v>
      </c>
      <c r="T168" s="81">
        <f t="shared" si="14"/>
        <v>38492.437874110852</v>
      </c>
      <c r="U168" s="73"/>
    </row>
    <row r="169" spans="4:21" x14ac:dyDescent="0.25">
      <c r="D169" s="77">
        <f t="shared" si="15"/>
        <v>4</v>
      </c>
      <c r="E169" s="81">
        <f t="shared" si="16"/>
        <v>558.89917693711982</v>
      </c>
      <c r="F169" s="81">
        <f t="shared" si="14"/>
        <v>1020.4318305943845</v>
      </c>
      <c r="G169" s="81">
        <f t="shared" si="14"/>
        <v>1684.3641861877256</v>
      </c>
      <c r="H169" s="81">
        <f t="shared" si="14"/>
        <v>2587.496189523702</v>
      </c>
      <c r="I169" s="81">
        <f t="shared" si="14"/>
        <v>3766.6277864088738</v>
      </c>
      <c r="J169" s="81">
        <f t="shared" si="14"/>
        <v>5258.5589226497996</v>
      </c>
      <c r="K169" s="81">
        <f t="shared" si="14"/>
        <v>7100.0895440530403</v>
      </c>
      <c r="L169" s="81">
        <f t="shared" si="14"/>
        <v>9328.0195964251525</v>
      </c>
      <c r="M169" s="81">
        <f t="shared" si="14"/>
        <v>11979.1490255727</v>
      </c>
      <c r="N169" s="81">
        <f t="shared" si="14"/>
        <v>15090.277777302232</v>
      </c>
      <c r="O169" s="81">
        <f t="shared" si="14"/>
        <v>18698.20579742032</v>
      </c>
      <c r="P169" s="81">
        <f t="shared" si="14"/>
        <v>22839.733031733525</v>
      </c>
      <c r="Q169" s="81">
        <f t="shared" si="14"/>
        <v>27551.659426048383</v>
      </c>
      <c r="R169" s="81">
        <f t="shared" si="14"/>
        <v>32870.784926171473</v>
      </c>
      <c r="S169" s="81">
        <f t="shared" si="14"/>
        <v>38833.909477909365</v>
      </c>
      <c r="T169" s="81">
        <f t="shared" si="14"/>
        <v>45477.833027068591</v>
      </c>
      <c r="U169" s="73"/>
    </row>
    <row r="170" spans="4:21" x14ac:dyDescent="0.25">
      <c r="D170" s="77">
        <f t="shared" si="15"/>
        <v>4.32</v>
      </c>
      <c r="E170" s="81">
        <f t="shared" si="16"/>
        <v>651.89999997945654</v>
      </c>
      <c r="F170" s="81">
        <f t="shared" si="14"/>
        <v>1190.2316872052902</v>
      </c>
      <c r="G170" s="81">
        <f t="shared" si="14"/>
        <v>1964.6423867693634</v>
      </c>
      <c r="H170" s="81">
        <f t="shared" si="14"/>
        <v>3018.0555554604466</v>
      </c>
      <c r="I170" s="81">
        <f t="shared" si="14"/>
        <v>4393.394650067311</v>
      </c>
      <c r="J170" s="81">
        <f t="shared" si="14"/>
        <v>6133.5831273787271</v>
      </c>
      <c r="K170" s="81">
        <f t="shared" si="14"/>
        <v>8281.5444441834661</v>
      </c>
      <c r="L170" s="81">
        <f t="shared" si="14"/>
        <v>10880.2020572703</v>
      </c>
      <c r="M170" s="81">
        <f t="shared" si="14"/>
        <v>13972.479423428</v>
      </c>
      <c r="N170" s="81">
        <f t="shared" si="14"/>
        <v>17601.299999445324</v>
      </c>
      <c r="O170" s="81">
        <f t="shared" si="14"/>
        <v>21809.587242111062</v>
      </c>
      <c r="P170" s="81">
        <f t="shared" si="14"/>
        <v>26640.264608213984</v>
      </c>
      <c r="Q170" s="81">
        <f t="shared" si="14"/>
        <v>32136.255554542837</v>
      </c>
      <c r="R170" s="81">
        <f t="shared" si="14"/>
        <v>38340.483537886408</v>
      </c>
      <c r="S170" s="81">
        <f t="shared" si="14"/>
        <v>45295.872015033485</v>
      </c>
      <c r="T170" s="81">
        <f t="shared" si="14"/>
        <v>53045.34444277281</v>
      </c>
      <c r="U170" s="73"/>
    </row>
    <row r="171" spans="4:21" x14ac:dyDescent="0.25">
      <c r="D171" s="77">
        <f t="shared" si="15"/>
        <v>4.6399999999999997</v>
      </c>
      <c r="E171" s="81">
        <f t="shared" si="16"/>
        <v>752.05473248658825</v>
      </c>
      <c r="F171" s="81">
        <f t="shared" si="14"/>
        <v>1373.0930712478037</v>
      </c>
      <c r="G171" s="81">
        <f t="shared" si="14"/>
        <v>2266.4804489342037</v>
      </c>
      <c r="H171" s="81">
        <f t="shared" si="14"/>
        <v>3481.7348726230935</v>
      </c>
      <c r="I171" s="81">
        <f t="shared" si="14"/>
        <v>5068.37434939178</v>
      </c>
      <c r="J171" s="81">
        <f t="shared" si="14"/>
        <v>7075.9168863175701</v>
      </c>
      <c r="K171" s="81">
        <f t="shared" si="14"/>
        <v>9553.8804904777699</v>
      </c>
      <c r="L171" s="81">
        <f t="shared" si="14"/>
        <v>12551.783168949685</v>
      </c>
      <c r="M171" s="81">
        <f t="shared" si="14"/>
        <v>16119.142928810625</v>
      </c>
      <c r="N171" s="81">
        <f t="shared" si="14"/>
        <v>20305.477777137883</v>
      </c>
      <c r="O171" s="81">
        <f t="shared" si="14"/>
        <v>25160.305721008783</v>
      </c>
      <c r="P171" s="81">
        <f t="shared" si="14"/>
        <v>30733.144767500627</v>
      </c>
      <c r="Q171" s="81">
        <f t="shared" si="14"/>
        <v>37073.512923690701</v>
      </c>
      <c r="R171" s="81">
        <f t="shared" si="14"/>
        <v>44230.928196656329</v>
      </c>
      <c r="S171" s="81">
        <f t="shared" si="14"/>
        <v>52254.908593474836</v>
      </c>
      <c r="T171" s="81">
        <f t="shared" si="14"/>
        <v>61194.972121223494</v>
      </c>
      <c r="U171" s="73"/>
    </row>
    <row r="172" spans="4:21" x14ac:dyDescent="0.25">
      <c r="D172" s="77">
        <f t="shared" si="15"/>
        <v>4.96</v>
      </c>
      <c r="E172" s="81">
        <f t="shared" si="16"/>
        <v>859.36337445851541</v>
      </c>
      <c r="F172" s="81">
        <f t="shared" si="14"/>
        <v>1569.0159827219256</v>
      </c>
      <c r="G172" s="81">
        <f t="shared" si="14"/>
        <v>2589.8783726822471</v>
      </c>
      <c r="H172" s="81">
        <f t="shared" si="14"/>
        <v>3978.5341410116448</v>
      </c>
      <c r="I172" s="81">
        <f t="shared" si="14"/>
        <v>5791.5668843822841</v>
      </c>
      <c r="J172" s="81">
        <f t="shared" si="14"/>
        <v>8085.560199466333</v>
      </c>
      <c r="K172" s="81">
        <f t="shared" si="14"/>
        <v>10917.097682935955</v>
      </c>
      <c r="L172" s="81">
        <f t="shared" si="14"/>
        <v>14342.762931463316</v>
      </c>
      <c r="M172" s="81">
        <f t="shared" si="14"/>
        <v>18419.139541720586</v>
      </c>
      <c r="N172" s="81">
        <f t="shared" si="14"/>
        <v>23202.811110379913</v>
      </c>
      <c r="O172" s="81">
        <f t="shared" si="14"/>
        <v>28750.361234113483</v>
      </c>
      <c r="P172" s="81">
        <f t="shared" si="14"/>
        <v>35118.373509593475</v>
      </c>
      <c r="Q172" s="81">
        <f t="shared" si="14"/>
        <v>42363.431533491996</v>
      </c>
      <c r="R172" s="81">
        <f t="shared" si="14"/>
        <v>50542.118902481256</v>
      </c>
      <c r="S172" s="81">
        <f t="shared" si="14"/>
        <v>59711.019213233441</v>
      </c>
      <c r="T172" s="81">
        <f t="shared" si="14"/>
        <v>69926.716062420659</v>
      </c>
      <c r="U172" s="73"/>
    </row>
    <row r="173" spans="4:21" x14ac:dyDescent="0.25">
      <c r="D173" s="77">
        <f t="shared" si="15"/>
        <v>5.28</v>
      </c>
      <c r="E173" s="81">
        <f t="shared" si="16"/>
        <v>973.82592589523756</v>
      </c>
      <c r="F173" s="81">
        <f t="shared" ref="F173:T176" si="17">(1025/128)*(9.81/PI())^3*F$156^3*$D173^2/1000</f>
        <v>1778.0004216276557</v>
      </c>
      <c r="G173" s="81">
        <f t="shared" si="17"/>
        <v>2934.8361580134938</v>
      </c>
      <c r="H173" s="81">
        <f t="shared" si="17"/>
        <v>4508.4533606260984</v>
      </c>
      <c r="I173" s="81">
        <f t="shared" si="17"/>
        <v>6562.9722550388224</v>
      </c>
      <c r="J173" s="81">
        <f t="shared" si="17"/>
        <v>9162.5130668250113</v>
      </c>
      <c r="K173" s="81">
        <f t="shared" si="17"/>
        <v>12371.196021558018</v>
      </c>
      <c r="L173" s="81">
        <f t="shared" si="17"/>
        <v>16253.141344811189</v>
      </c>
      <c r="M173" s="81">
        <f t="shared" si="17"/>
        <v>20872.469262157876</v>
      </c>
      <c r="N173" s="81">
        <f t="shared" si="17"/>
        <v>26293.29999917141</v>
      </c>
      <c r="O173" s="81">
        <f t="shared" si="17"/>
        <v>32579.753781425166</v>
      </c>
      <c r="P173" s="81">
        <f t="shared" si="17"/>
        <v>39795.950834492498</v>
      </c>
      <c r="Q173" s="81">
        <f t="shared" si="17"/>
        <v>48006.011383946709</v>
      </c>
      <c r="R173" s="81">
        <f t="shared" si="17"/>
        <v>57274.055655361182</v>
      </c>
      <c r="S173" s="81">
        <f t="shared" si="17"/>
        <v>67664.203874309285</v>
      </c>
      <c r="T173" s="81">
        <f t="shared" si="17"/>
        <v>79240.576266364325</v>
      </c>
      <c r="U173" s="73"/>
    </row>
    <row r="174" spans="4:21" x14ac:dyDescent="0.25">
      <c r="D174" s="77">
        <f t="shared" si="15"/>
        <v>5.6000000000000005</v>
      </c>
      <c r="E174" s="81">
        <f t="shared" si="16"/>
        <v>1095.442386796755</v>
      </c>
      <c r="F174" s="81">
        <f t="shared" si="17"/>
        <v>2000.046387964994</v>
      </c>
      <c r="G174" s="81">
        <f t="shared" si="17"/>
        <v>3301.3538049279432</v>
      </c>
      <c r="H174" s="81">
        <f t="shared" si="17"/>
        <v>5071.492531466457</v>
      </c>
      <c r="I174" s="81">
        <f t="shared" si="17"/>
        <v>7382.5904613613939</v>
      </c>
      <c r="J174" s="81">
        <f t="shared" si="17"/>
        <v>10306.77548839361</v>
      </c>
      <c r="K174" s="81">
        <f t="shared" si="17"/>
        <v>13916.175506343963</v>
      </c>
      <c r="L174" s="81">
        <f t="shared" si="17"/>
        <v>18282.918408993304</v>
      </c>
      <c r="M174" s="81">
        <f t="shared" si="17"/>
        <v>23479.132090122497</v>
      </c>
      <c r="N174" s="81">
        <f t="shared" si="17"/>
        <v>29576.944443512381</v>
      </c>
      <c r="O174" s="81">
        <f t="shared" si="17"/>
        <v>36648.483362943836</v>
      </c>
      <c r="P174" s="81">
        <f t="shared" si="17"/>
        <v>44765.876742197717</v>
      </c>
      <c r="Q174" s="81">
        <f t="shared" si="17"/>
        <v>54001.252475054847</v>
      </c>
      <c r="R174" s="81">
        <f t="shared" si="17"/>
        <v>64426.738455296101</v>
      </c>
      <c r="S174" s="81">
        <f t="shared" si="17"/>
        <v>76114.462576702368</v>
      </c>
      <c r="T174" s="81">
        <f t="shared" si="17"/>
        <v>89136.552733054457</v>
      </c>
      <c r="U174" s="73"/>
    </row>
    <row r="175" spans="4:21" x14ac:dyDescent="0.25">
      <c r="D175" s="77">
        <f t="shared" si="15"/>
        <v>5.92</v>
      </c>
      <c r="E175" s="81">
        <f t="shared" si="16"/>
        <v>1224.2127571630672</v>
      </c>
      <c r="F175" s="81">
        <f t="shared" si="17"/>
        <v>2235.1538817339397</v>
      </c>
      <c r="G175" s="81">
        <f t="shared" si="17"/>
        <v>3689.4313134255945</v>
      </c>
      <c r="H175" s="81">
        <f t="shared" si="17"/>
        <v>5667.6516535327164</v>
      </c>
      <c r="I175" s="81">
        <f t="shared" si="17"/>
        <v>8250.4215033499968</v>
      </c>
      <c r="J175" s="81">
        <f t="shared" si="17"/>
        <v>11518.34746417212</v>
      </c>
      <c r="K175" s="81">
        <f t="shared" si="17"/>
        <v>15552.036137293779</v>
      </c>
      <c r="L175" s="81">
        <f t="shared" si="17"/>
        <v>20432.094124009654</v>
      </c>
      <c r="M175" s="81">
        <f t="shared" si="17"/>
        <v>26239.128025614442</v>
      </c>
      <c r="N175" s="81">
        <f t="shared" si="17"/>
        <v>33053.744443402808</v>
      </c>
      <c r="O175" s="81">
        <f t="shared" si="17"/>
        <v>40956.549978669464</v>
      </c>
      <c r="P175" s="81">
        <f t="shared" si="17"/>
        <v>50028.151232709111</v>
      </c>
      <c r="Q175" s="81">
        <f t="shared" si="17"/>
        <v>60349.154806816376</v>
      </c>
      <c r="R175" s="81">
        <f t="shared" si="17"/>
        <v>72000.167302286005</v>
      </c>
      <c r="S175" s="81">
        <f t="shared" si="17"/>
        <v>85061.795320412668</v>
      </c>
      <c r="T175" s="81">
        <f t="shared" si="17"/>
        <v>99614.64546249104</v>
      </c>
      <c r="U175" s="73"/>
    </row>
    <row r="176" spans="4:21" x14ac:dyDescent="0.25">
      <c r="D176" s="77">
        <f t="shared" si="15"/>
        <v>6.24</v>
      </c>
      <c r="E176" s="81">
        <f t="shared" si="16"/>
        <v>1360.1370369941749</v>
      </c>
      <c r="F176" s="81">
        <f t="shared" si="17"/>
        <v>2483.3229029344943</v>
      </c>
      <c r="G176" s="81">
        <f t="shared" si="17"/>
        <v>4099.0686835064498</v>
      </c>
      <c r="H176" s="81">
        <f t="shared" si="17"/>
        <v>6296.9307268248813</v>
      </c>
      <c r="I176" s="81">
        <f t="shared" si="17"/>
        <v>9166.4653810046348</v>
      </c>
      <c r="J176" s="81">
        <f t="shared" si="17"/>
        <v>12797.228994160554</v>
      </c>
      <c r="K176" s="81">
        <f t="shared" si="17"/>
        <v>17278.777914407481</v>
      </c>
      <c r="L176" s="81">
        <f t="shared" si="17"/>
        <v>22700.668489860254</v>
      </c>
      <c r="M176" s="81">
        <f t="shared" si="17"/>
        <v>29152.457068633728</v>
      </c>
      <c r="N176" s="81">
        <f t="shared" si="17"/>
        <v>36723.69999884272</v>
      </c>
      <c r="O176" s="81">
        <f t="shared" si="17"/>
        <v>45503.953628602096</v>
      </c>
      <c r="P176" s="81">
        <f t="shared" si="17"/>
        <v>55582.774306026709</v>
      </c>
      <c r="Q176" s="81">
        <f t="shared" si="17"/>
        <v>67049.718379231344</v>
      </c>
      <c r="R176" s="81">
        <f t="shared" si="17"/>
        <v>79994.342196330908</v>
      </c>
      <c r="S176" s="81">
        <f t="shared" si="17"/>
        <v>94506.202105440228</v>
      </c>
      <c r="T176" s="81">
        <f t="shared" si="17"/>
        <v>110674.85445467415</v>
      </c>
      <c r="U176" s="73"/>
    </row>
    <row r="177" spans="1:21" x14ac:dyDescent="0.25">
      <c r="D177" s="77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73"/>
    </row>
    <row r="179" spans="1:21" x14ac:dyDescent="0.25">
      <c r="A179" s="45" t="s">
        <v>154</v>
      </c>
    </row>
    <row r="180" spans="1:21" x14ac:dyDescent="0.25">
      <c r="B180" s="43" t="s">
        <v>155</v>
      </c>
      <c r="C180" s="82">
        <f ca="1">S6*G7</f>
        <v>142.69231642329348</v>
      </c>
      <c r="D180" s="43" t="s">
        <v>5</v>
      </c>
      <c r="E180" s="43" t="s">
        <v>179</v>
      </c>
      <c r="F180" s="51"/>
      <c r="G180" s="51"/>
      <c r="H180" s="51"/>
      <c r="I180" s="51"/>
      <c r="S180" s="74"/>
      <c r="T180" s="74"/>
    </row>
    <row r="181" spans="1:21" x14ac:dyDescent="0.25">
      <c r="D181" s="75"/>
      <c r="E181" s="168">
        <f>E156</f>
        <v>5.2325581395348841</v>
      </c>
      <c r="F181" s="168">
        <f t="shared" ref="F181:T181" si="18">F156</f>
        <v>6.3953488372093021</v>
      </c>
      <c r="G181" s="168">
        <f t="shared" si="18"/>
        <v>7.558139534883721</v>
      </c>
      <c r="H181" s="168">
        <f t="shared" si="18"/>
        <v>8.720930232558139</v>
      </c>
      <c r="I181" s="168">
        <f t="shared" si="18"/>
        <v>9.8837209302325579</v>
      </c>
      <c r="J181" s="168">
        <f t="shared" si="18"/>
        <v>11.046511627906977</v>
      </c>
      <c r="K181" s="168">
        <f t="shared" si="18"/>
        <v>12.209302325581396</v>
      </c>
      <c r="L181" s="168">
        <f t="shared" si="18"/>
        <v>13.372093023255815</v>
      </c>
      <c r="M181" s="168">
        <f t="shared" si="18"/>
        <v>14.534883720930234</v>
      </c>
      <c r="N181" s="168">
        <f t="shared" si="18"/>
        <v>15.697674418604651</v>
      </c>
      <c r="O181" s="168">
        <f t="shared" si="18"/>
        <v>16.86046511627907</v>
      </c>
      <c r="P181" s="168">
        <f t="shared" si="18"/>
        <v>18.02325581395349</v>
      </c>
      <c r="Q181" s="168">
        <f t="shared" si="18"/>
        <v>19.186046511627907</v>
      </c>
      <c r="R181" s="168">
        <f t="shared" si="18"/>
        <v>20.348837209302324</v>
      </c>
      <c r="S181" s="168">
        <f t="shared" si="18"/>
        <v>21.511627906976745</v>
      </c>
      <c r="T181" s="168">
        <f t="shared" si="18"/>
        <v>22.674418604651162</v>
      </c>
    </row>
    <row r="182" spans="1:21" x14ac:dyDescent="0.25">
      <c r="C182" s="43" t="s">
        <v>151</v>
      </c>
      <c r="D182" s="77">
        <f>D157</f>
        <v>0.16</v>
      </c>
      <c r="E182" s="81">
        <f ca="1">(PI()*1025*9.81*$D182*$C$180)/(4*E$181)/1000</f>
        <v>34.457936194017449</v>
      </c>
      <c r="F182" s="81">
        <f t="shared" ref="F182:T197" ca="1" si="19">(PI()*1025*9.81*$D182*$C$180)/(4*F$181)/1000</f>
        <v>28.19285688601428</v>
      </c>
      <c r="G182" s="81">
        <f t="shared" ca="1" si="19"/>
        <v>23.855494288165925</v>
      </c>
      <c r="H182" s="81">
        <f t="shared" ca="1" si="19"/>
        <v>20.674761716410469</v>
      </c>
      <c r="I182" s="81">
        <f t="shared" ca="1" si="19"/>
        <v>18.242436808597475</v>
      </c>
      <c r="J182" s="81">
        <f t="shared" ca="1" si="19"/>
        <v>16.32218030242932</v>
      </c>
      <c r="K182" s="81">
        <f t="shared" ca="1" si="19"/>
        <v>14.767686940293194</v>
      </c>
      <c r="L182" s="81">
        <f t="shared" ca="1" si="19"/>
        <v>13.483540249832915</v>
      </c>
      <c r="M182" s="81">
        <f t="shared" ca="1" si="19"/>
        <v>12.404857029846282</v>
      </c>
      <c r="N182" s="81">
        <f t="shared" ca="1" si="19"/>
        <v>11.485978731339152</v>
      </c>
      <c r="O182" s="81">
        <f t="shared" ca="1" si="19"/>
        <v>10.693842267108865</v>
      </c>
      <c r="P182" s="81">
        <f t="shared" ca="1" si="19"/>
        <v>10.003916959553454</v>
      </c>
      <c r="Q182" s="81">
        <f t="shared" ca="1" si="19"/>
        <v>9.3976189620047581</v>
      </c>
      <c r="R182" s="81">
        <f t="shared" ca="1" si="19"/>
        <v>8.860612164175917</v>
      </c>
      <c r="S182" s="81">
        <f t="shared" ca="1" si="19"/>
        <v>8.3816601553015424</v>
      </c>
      <c r="T182" s="81">
        <f t="shared" ca="1" si="19"/>
        <v>7.9518314293886432</v>
      </c>
      <c r="U182" s="73"/>
    </row>
    <row r="183" spans="1:21" x14ac:dyDescent="0.25">
      <c r="D183" s="77">
        <f t="shared" ref="D183:D201" si="20">D158</f>
        <v>0.48</v>
      </c>
      <c r="E183" s="81">
        <f t="shared" ref="E183:E201" ca="1" si="21">(PI()*1025*9.81*$D183*$C$180)/(4*E$181)/1000</f>
        <v>103.37380858205231</v>
      </c>
      <c r="F183" s="81">
        <f t="shared" ca="1" si="19"/>
        <v>84.578570658042807</v>
      </c>
      <c r="G183" s="81">
        <f t="shared" ca="1" si="19"/>
        <v>71.566482864497772</v>
      </c>
      <c r="H183" s="81">
        <f t="shared" ca="1" si="19"/>
        <v>62.024285149231403</v>
      </c>
      <c r="I183" s="81">
        <f t="shared" ca="1" si="19"/>
        <v>54.727310425792403</v>
      </c>
      <c r="J183" s="81">
        <f t="shared" ca="1" si="19"/>
        <v>48.966540907287943</v>
      </c>
      <c r="K183" s="81">
        <f t="shared" ca="1" si="19"/>
        <v>44.303060820879566</v>
      </c>
      <c r="L183" s="81">
        <f t="shared" ca="1" si="19"/>
        <v>40.450620749498732</v>
      </c>
      <c r="M183" s="81">
        <f t="shared" ca="1" si="19"/>
        <v>37.214571089538836</v>
      </c>
      <c r="N183" s="81">
        <f t="shared" ca="1" si="19"/>
        <v>34.457936194017442</v>
      </c>
      <c r="O183" s="81">
        <f t="shared" ca="1" si="19"/>
        <v>32.081526801326582</v>
      </c>
      <c r="P183" s="81">
        <f t="shared" ca="1" si="19"/>
        <v>30.011750878660351</v>
      </c>
      <c r="Q183" s="81">
        <f t="shared" ca="1" si="19"/>
        <v>28.192856886014269</v>
      </c>
      <c r="R183" s="81">
        <f t="shared" ca="1" si="19"/>
        <v>26.581836492527742</v>
      </c>
      <c r="S183" s="81">
        <f t="shared" ca="1" si="19"/>
        <v>25.14498046590462</v>
      </c>
      <c r="T183" s="81">
        <f t="shared" ca="1" si="19"/>
        <v>23.855494288165922</v>
      </c>
      <c r="U183" s="73"/>
    </row>
    <row r="184" spans="1:21" x14ac:dyDescent="0.25">
      <c r="D184" s="77">
        <f t="shared" si="20"/>
        <v>0.8</v>
      </c>
      <c r="E184" s="81">
        <f t="shared" ca="1" si="21"/>
        <v>172.28968097008723</v>
      </c>
      <c r="F184" s="81">
        <f t="shared" ca="1" si="19"/>
        <v>140.96428443007139</v>
      </c>
      <c r="G184" s="81">
        <f t="shared" ca="1" si="19"/>
        <v>119.27747144082963</v>
      </c>
      <c r="H184" s="81">
        <f t="shared" ca="1" si="19"/>
        <v>103.37380858205236</v>
      </c>
      <c r="I184" s="81">
        <f t="shared" ca="1" si="19"/>
        <v>91.212184042987374</v>
      </c>
      <c r="J184" s="81">
        <f t="shared" ca="1" si="19"/>
        <v>81.610901512146597</v>
      </c>
      <c r="K184" s="81">
        <f t="shared" ca="1" si="19"/>
        <v>73.838434701465957</v>
      </c>
      <c r="L184" s="81">
        <f t="shared" ca="1" si="19"/>
        <v>67.41770124916458</v>
      </c>
      <c r="M184" s="81">
        <f t="shared" ca="1" si="19"/>
        <v>62.024285149231403</v>
      </c>
      <c r="N184" s="81">
        <f t="shared" ca="1" si="19"/>
        <v>57.429893656695747</v>
      </c>
      <c r="O184" s="81">
        <f t="shared" ca="1" si="19"/>
        <v>53.469211335544315</v>
      </c>
      <c r="P184" s="81">
        <f t="shared" ca="1" si="19"/>
        <v>50.019584797767259</v>
      </c>
      <c r="Q184" s="81">
        <f t="shared" ca="1" si="19"/>
        <v>46.988094810023796</v>
      </c>
      <c r="R184" s="81">
        <f t="shared" ca="1" si="19"/>
        <v>44.30306082087958</v>
      </c>
      <c r="S184" s="81">
        <f t="shared" ca="1" si="19"/>
        <v>41.908300776507708</v>
      </c>
      <c r="T184" s="81">
        <f t="shared" ca="1" si="19"/>
        <v>39.75915714694321</v>
      </c>
      <c r="U184" s="73"/>
    </row>
    <row r="185" spans="1:21" x14ac:dyDescent="0.25">
      <c r="D185" s="77">
        <f t="shared" si="20"/>
        <v>1.1200000000000001</v>
      </c>
      <c r="E185" s="81">
        <f ca="1">(PI()*1025*9.81*$D185*$C$180)/(4*E$181)/1000</f>
        <v>241.20555335812213</v>
      </c>
      <c r="F185" s="81">
        <f t="shared" ca="1" si="19"/>
        <v>197.34999820209995</v>
      </c>
      <c r="G185" s="81">
        <f t="shared" ca="1" si="19"/>
        <v>166.98846001716151</v>
      </c>
      <c r="H185" s="81">
        <f t="shared" ca="1" si="19"/>
        <v>144.72333201487331</v>
      </c>
      <c r="I185" s="81">
        <f t="shared" ca="1" si="19"/>
        <v>127.69705766018232</v>
      </c>
      <c r="J185" s="81">
        <f t="shared" ca="1" si="19"/>
        <v>114.25526211700523</v>
      </c>
      <c r="K185" s="81">
        <f t="shared" ca="1" si="19"/>
        <v>103.37380858205236</v>
      </c>
      <c r="L185" s="81">
        <f t="shared" ca="1" si="19"/>
        <v>94.384781748830406</v>
      </c>
      <c r="M185" s="81">
        <f t="shared" ca="1" si="19"/>
        <v>86.83399920892397</v>
      </c>
      <c r="N185" s="81">
        <f t="shared" ca="1" si="19"/>
        <v>80.401851119374058</v>
      </c>
      <c r="O185" s="81">
        <f t="shared" ca="1" si="19"/>
        <v>74.856895869762056</v>
      </c>
      <c r="P185" s="81">
        <f t="shared" ca="1" si="19"/>
        <v>70.027418716874166</v>
      </c>
      <c r="Q185" s="81">
        <f t="shared" ca="1" si="19"/>
        <v>65.783332734033323</v>
      </c>
      <c r="R185" s="81">
        <f t="shared" ca="1" si="19"/>
        <v>62.024285149231417</v>
      </c>
      <c r="S185" s="81">
        <f t="shared" ca="1" si="19"/>
        <v>58.671621087110793</v>
      </c>
      <c r="T185" s="81">
        <f t="shared" ca="1" si="19"/>
        <v>55.662820005720498</v>
      </c>
      <c r="U185" s="73"/>
    </row>
    <row r="186" spans="1:21" x14ac:dyDescent="0.25">
      <c r="D186" s="77">
        <f t="shared" si="20"/>
        <v>1.44</v>
      </c>
      <c r="E186" s="81">
        <f t="shared" ca="1" si="21"/>
        <v>310.121425746157</v>
      </c>
      <c r="F186" s="81">
        <f t="shared" ca="1" si="19"/>
        <v>253.73571197412846</v>
      </c>
      <c r="G186" s="81">
        <f t="shared" ca="1" si="19"/>
        <v>214.69944859349332</v>
      </c>
      <c r="H186" s="81">
        <f t="shared" ca="1" si="19"/>
        <v>186.07285544769422</v>
      </c>
      <c r="I186" s="81">
        <f t="shared" ca="1" si="19"/>
        <v>164.18193127737723</v>
      </c>
      <c r="J186" s="81">
        <f t="shared" ca="1" si="19"/>
        <v>146.89962272186386</v>
      </c>
      <c r="K186" s="81">
        <f t="shared" ca="1" si="19"/>
        <v>132.90918246263871</v>
      </c>
      <c r="L186" s="81">
        <f t="shared" ca="1" si="19"/>
        <v>121.35186224849623</v>
      </c>
      <c r="M186" s="81">
        <f t="shared" ca="1" si="19"/>
        <v>111.64371326861652</v>
      </c>
      <c r="N186" s="81">
        <f t="shared" ca="1" si="19"/>
        <v>103.37380858205235</v>
      </c>
      <c r="O186" s="81">
        <f t="shared" ca="1" si="19"/>
        <v>96.244580403979768</v>
      </c>
      <c r="P186" s="81">
        <f t="shared" ca="1" si="19"/>
        <v>90.035252635981053</v>
      </c>
      <c r="Q186" s="81">
        <f t="shared" ca="1" si="19"/>
        <v>84.578570658042821</v>
      </c>
      <c r="R186" s="81">
        <f t="shared" ca="1" si="19"/>
        <v>79.745509477583241</v>
      </c>
      <c r="S186" s="81">
        <f t="shared" ca="1" si="19"/>
        <v>75.434941397713857</v>
      </c>
      <c r="T186" s="81">
        <f t="shared" ca="1" si="19"/>
        <v>71.566482864497786</v>
      </c>
      <c r="U186" s="73"/>
    </row>
    <row r="187" spans="1:21" x14ac:dyDescent="0.25">
      <c r="D187" s="77">
        <f t="shared" si="20"/>
        <v>1.76</v>
      </c>
      <c r="E187" s="81">
        <f t="shared" ca="1" si="21"/>
        <v>379.03729813419187</v>
      </c>
      <c r="F187" s="81">
        <f t="shared" ca="1" si="19"/>
        <v>310.12142574615706</v>
      </c>
      <c r="G187" s="81">
        <f t="shared" ca="1" si="19"/>
        <v>262.41043716982517</v>
      </c>
      <c r="H187" s="81">
        <f t="shared" ca="1" si="19"/>
        <v>227.42237888051517</v>
      </c>
      <c r="I187" s="81">
        <f t="shared" ca="1" si="19"/>
        <v>200.66680489457221</v>
      </c>
      <c r="J187" s="81">
        <f t="shared" ca="1" si="19"/>
        <v>179.5439833267225</v>
      </c>
      <c r="K187" s="81">
        <f t="shared" ca="1" si="19"/>
        <v>162.44455634322512</v>
      </c>
      <c r="L187" s="81">
        <f t="shared" ca="1" si="19"/>
        <v>148.31894274816204</v>
      </c>
      <c r="M187" s="81">
        <f t="shared" ca="1" si="19"/>
        <v>136.45342732830909</v>
      </c>
      <c r="N187" s="81">
        <f t="shared" ca="1" si="19"/>
        <v>126.34576604473065</v>
      </c>
      <c r="O187" s="81">
        <f t="shared" ca="1" si="19"/>
        <v>117.63226493819751</v>
      </c>
      <c r="P187" s="81">
        <f t="shared" ca="1" si="19"/>
        <v>110.04308655508797</v>
      </c>
      <c r="Q187" s="81">
        <f t="shared" ca="1" si="19"/>
        <v>103.37380858205235</v>
      </c>
      <c r="R187" s="81">
        <f t="shared" ca="1" si="19"/>
        <v>97.466733805935078</v>
      </c>
      <c r="S187" s="81">
        <f t="shared" ca="1" si="19"/>
        <v>92.198261708316963</v>
      </c>
      <c r="T187" s="81">
        <f t="shared" ca="1" si="19"/>
        <v>87.470145723275067</v>
      </c>
      <c r="U187" s="73"/>
    </row>
    <row r="188" spans="1:21" x14ac:dyDescent="0.25">
      <c r="D188" s="77">
        <f t="shared" si="20"/>
        <v>2.08</v>
      </c>
      <c r="E188" s="81">
        <f t="shared" ca="1" si="21"/>
        <v>447.95317052222686</v>
      </c>
      <c r="F188" s="81">
        <f t="shared" ca="1" si="19"/>
        <v>366.50713951818562</v>
      </c>
      <c r="G188" s="81">
        <f t="shared" ca="1" si="19"/>
        <v>310.12142574615706</v>
      </c>
      <c r="H188" s="81">
        <f t="shared" ca="1" si="19"/>
        <v>268.77190231333617</v>
      </c>
      <c r="I188" s="81">
        <f t="shared" ca="1" si="19"/>
        <v>237.15167851176716</v>
      </c>
      <c r="J188" s="81">
        <f t="shared" ca="1" si="19"/>
        <v>212.18834393158113</v>
      </c>
      <c r="K188" s="81">
        <f t="shared" ca="1" si="19"/>
        <v>191.97993022381149</v>
      </c>
      <c r="L188" s="81">
        <f t="shared" ca="1" si="19"/>
        <v>175.2860232478279</v>
      </c>
      <c r="M188" s="81">
        <f t="shared" ca="1" si="19"/>
        <v>161.26314138800166</v>
      </c>
      <c r="N188" s="81">
        <f t="shared" ca="1" si="19"/>
        <v>149.31772350740894</v>
      </c>
      <c r="O188" s="81">
        <f t="shared" ca="1" si="19"/>
        <v>139.01994947241522</v>
      </c>
      <c r="P188" s="81">
        <f t="shared" ca="1" si="19"/>
        <v>130.05092047419487</v>
      </c>
      <c r="Q188" s="81">
        <f t="shared" ca="1" si="19"/>
        <v>122.16904650606187</v>
      </c>
      <c r="R188" s="81">
        <f t="shared" ca="1" si="19"/>
        <v>115.1879581342869</v>
      </c>
      <c r="S188" s="81">
        <f t="shared" ca="1" si="19"/>
        <v>108.96158201892004</v>
      </c>
      <c r="T188" s="81">
        <f t="shared" ca="1" si="19"/>
        <v>103.37380858205236</v>
      </c>
      <c r="U188" s="73"/>
    </row>
    <row r="189" spans="1:21" x14ac:dyDescent="0.25">
      <c r="D189" s="77">
        <f t="shared" si="20"/>
        <v>2.4</v>
      </c>
      <c r="E189" s="81">
        <f t="shared" ca="1" si="21"/>
        <v>516.86904291026167</v>
      </c>
      <c r="F189" s="81">
        <f t="shared" ca="1" si="19"/>
        <v>422.89285329021408</v>
      </c>
      <c r="G189" s="81">
        <f t="shared" ca="1" si="19"/>
        <v>357.83241432248883</v>
      </c>
      <c r="H189" s="81">
        <f t="shared" ca="1" si="19"/>
        <v>310.121425746157</v>
      </c>
      <c r="I189" s="81">
        <f t="shared" ca="1" si="19"/>
        <v>273.63655212896208</v>
      </c>
      <c r="J189" s="81">
        <f t="shared" ca="1" si="19"/>
        <v>244.83270453643973</v>
      </c>
      <c r="K189" s="81">
        <f t="shared" ca="1" si="19"/>
        <v>221.51530410439787</v>
      </c>
      <c r="L189" s="81">
        <f t="shared" ca="1" si="19"/>
        <v>202.2531037474937</v>
      </c>
      <c r="M189" s="81">
        <f t="shared" ca="1" si="19"/>
        <v>186.0728554476942</v>
      </c>
      <c r="N189" s="81">
        <f t="shared" ca="1" si="19"/>
        <v>172.28968097008723</v>
      </c>
      <c r="O189" s="81">
        <f t="shared" ca="1" si="19"/>
        <v>160.40763400663292</v>
      </c>
      <c r="P189" s="81">
        <f t="shared" ca="1" si="19"/>
        <v>150.05875439330177</v>
      </c>
      <c r="Q189" s="81">
        <f t="shared" ca="1" si="19"/>
        <v>140.96428443007136</v>
      </c>
      <c r="R189" s="81">
        <f t="shared" ca="1" si="19"/>
        <v>132.90918246263874</v>
      </c>
      <c r="S189" s="81">
        <f t="shared" ca="1" si="19"/>
        <v>125.7249023295231</v>
      </c>
      <c r="T189" s="81">
        <f t="shared" ca="1" si="19"/>
        <v>119.27747144082963</v>
      </c>
      <c r="U189" s="73"/>
    </row>
    <row r="190" spans="1:21" x14ac:dyDescent="0.25">
      <c r="D190" s="77">
        <f t="shared" si="20"/>
        <v>2.72</v>
      </c>
      <c r="E190" s="81">
        <f t="shared" ca="1" si="21"/>
        <v>585.7849152982966</v>
      </c>
      <c r="F190" s="81">
        <f t="shared" ca="1" si="19"/>
        <v>479.27856706224276</v>
      </c>
      <c r="G190" s="81">
        <f t="shared" ca="1" si="19"/>
        <v>405.54340289882077</v>
      </c>
      <c r="H190" s="81">
        <f t="shared" ca="1" si="19"/>
        <v>351.47094917897806</v>
      </c>
      <c r="I190" s="81">
        <f t="shared" ca="1" si="19"/>
        <v>310.12142574615706</v>
      </c>
      <c r="J190" s="81">
        <f t="shared" ca="1" si="19"/>
        <v>277.4770651412984</v>
      </c>
      <c r="K190" s="81">
        <f t="shared" ca="1" si="19"/>
        <v>251.05067798498428</v>
      </c>
      <c r="L190" s="81">
        <f t="shared" ca="1" si="19"/>
        <v>229.22018424715958</v>
      </c>
      <c r="M190" s="81">
        <f t="shared" ca="1" si="19"/>
        <v>210.88256950738679</v>
      </c>
      <c r="N190" s="81">
        <f t="shared" ca="1" si="19"/>
        <v>195.26163843276555</v>
      </c>
      <c r="O190" s="81">
        <f t="shared" ca="1" si="19"/>
        <v>181.79531854085067</v>
      </c>
      <c r="P190" s="81">
        <f t="shared" ca="1" si="19"/>
        <v>170.06658831240867</v>
      </c>
      <c r="Q190" s="81">
        <f t="shared" ca="1" si="19"/>
        <v>159.75952235408093</v>
      </c>
      <c r="R190" s="81">
        <f t="shared" ca="1" si="19"/>
        <v>150.63040679099058</v>
      </c>
      <c r="S190" s="81">
        <f t="shared" ca="1" si="19"/>
        <v>142.48822264012622</v>
      </c>
      <c r="T190" s="81">
        <f t="shared" ca="1" si="19"/>
        <v>135.18113429960692</v>
      </c>
      <c r="U190" s="73"/>
    </row>
    <row r="191" spans="1:21" x14ac:dyDescent="0.25">
      <c r="D191" s="77">
        <f t="shared" si="20"/>
        <v>3.04</v>
      </c>
      <c r="E191" s="81">
        <f t="shared" ca="1" si="21"/>
        <v>654.70078768633141</v>
      </c>
      <c r="F191" s="81">
        <f t="shared" ca="1" si="19"/>
        <v>535.66428083427127</v>
      </c>
      <c r="G191" s="81">
        <f t="shared" ca="1" si="19"/>
        <v>453.2543914751526</v>
      </c>
      <c r="H191" s="81">
        <f t="shared" ca="1" si="19"/>
        <v>392.82047261179889</v>
      </c>
      <c r="I191" s="81">
        <f t="shared" ca="1" si="19"/>
        <v>346.60629936335204</v>
      </c>
      <c r="J191" s="81">
        <f t="shared" ca="1" si="19"/>
        <v>310.121425746157</v>
      </c>
      <c r="K191" s="81">
        <f t="shared" ca="1" si="19"/>
        <v>280.58605186557065</v>
      </c>
      <c r="L191" s="81">
        <f t="shared" ca="1" si="19"/>
        <v>256.18726474682535</v>
      </c>
      <c r="M191" s="81">
        <f t="shared" ca="1" si="19"/>
        <v>235.6922835670793</v>
      </c>
      <c r="N191" s="81">
        <f t="shared" ca="1" si="19"/>
        <v>218.23359589544384</v>
      </c>
      <c r="O191" s="81">
        <f t="shared" ca="1" si="19"/>
        <v>203.1830030750684</v>
      </c>
      <c r="P191" s="81">
        <f t="shared" ca="1" si="19"/>
        <v>190.07442223151557</v>
      </c>
      <c r="Q191" s="81">
        <f t="shared" ca="1" si="19"/>
        <v>178.55476027809038</v>
      </c>
      <c r="R191" s="81">
        <f t="shared" ca="1" si="19"/>
        <v>168.35163111934241</v>
      </c>
      <c r="S191" s="81">
        <f t="shared" ca="1" si="19"/>
        <v>159.25154295072929</v>
      </c>
      <c r="T191" s="81">
        <f t="shared" ca="1" si="19"/>
        <v>151.08479715838419</v>
      </c>
      <c r="U191" s="73"/>
    </row>
    <row r="192" spans="1:21" x14ac:dyDescent="0.25">
      <c r="D192" s="77">
        <f t="shared" si="20"/>
        <v>3.36</v>
      </c>
      <c r="E192" s="81">
        <f t="shared" ca="1" si="21"/>
        <v>723.61666007436634</v>
      </c>
      <c r="F192" s="81">
        <f t="shared" ca="1" si="19"/>
        <v>592.04999460629983</v>
      </c>
      <c r="G192" s="81">
        <f t="shared" ca="1" si="19"/>
        <v>500.96538005148443</v>
      </c>
      <c r="H192" s="81">
        <f t="shared" ca="1" si="19"/>
        <v>434.16999604461989</v>
      </c>
      <c r="I192" s="81">
        <f t="shared" ca="1" si="19"/>
        <v>383.09117298054696</v>
      </c>
      <c r="J192" s="81">
        <f t="shared" ca="1" si="19"/>
        <v>342.76578635101566</v>
      </c>
      <c r="K192" s="81">
        <f t="shared" ca="1" si="19"/>
        <v>310.121425746157</v>
      </c>
      <c r="L192" s="81">
        <f t="shared" ca="1" si="19"/>
        <v>283.15434524649118</v>
      </c>
      <c r="M192" s="81">
        <f t="shared" ca="1" si="19"/>
        <v>260.50199762677187</v>
      </c>
      <c r="N192" s="81">
        <f t="shared" ca="1" si="19"/>
        <v>241.20555335812216</v>
      </c>
      <c r="O192" s="81">
        <f t="shared" ca="1" si="19"/>
        <v>224.57068760928613</v>
      </c>
      <c r="P192" s="81">
        <f t="shared" ca="1" si="19"/>
        <v>210.08225615062247</v>
      </c>
      <c r="Q192" s="81">
        <f t="shared" ca="1" si="19"/>
        <v>197.34999820209993</v>
      </c>
      <c r="R192" s="81">
        <f t="shared" ca="1" si="19"/>
        <v>186.07285544769422</v>
      </c>
      <c r="S192" s="81">
        <f t="shared" ca="1" si="19"/>
        <v>176.01486326133235</v>
      </c>
      <c r="T192" s="81">
        <f t="shared" ca="1" si="19"/>
        <v>166.98846001716149</v>
      </c>
      <c r="U192" s="73"/>
    </row>
    <row r="193" spans="1:21" x14ac:dyDescent="0.25">
      <c r="D193" s="77">
        <f t="shared" si="20"/>
        <v>3.68</v>
      </c>
      <c r="E193" s="81">
        <f t="shared" ca="1" si="21"/>
        <v>792.53253246240126</v>
      </c>
      <c r="F193" s="81">
        <f t="shared" ca="1" si="19"/>
        <v>648.4357083783284</v>
      </c>
      <c r="G193" s="81">
        <f t="shared" ca="1" si="19"/>
        <v>548.67636862781637</v>
      </c>
      <c r="H193" s="81">
        <f t="shared" ca="1" si="19"/>
        <v>475.51951947744078</v>
      </c>
      <c r="I193" s="81">
        <f t="shared" ca="1" si="19"/>
        <v>419.57604659774188</v>
      </c>
      <c r="J193" s="81">
        <f t="shared" ca="1" si="19"/>
        <v>375.41014695587432</v>
      </c>
      <c r="K193" s="81">
        <f t="shared" ca="1" si="19"/>
        <v>339.65679962674341</v>
      </c>
      <c r="L193" s="81">
        <f t="shared" ca="1" si="19"/>
        <v>310.121425746157</v>
      </c>
      <c r="M193" s="81">
        <f t="shared" ca="1" si="19"/>
        <v>285.31171168646443</v>
      </c>
      <c r="N193" s="81">
        <f t="shared" ca="1" si="19"/>
        <v>264.17751082080042</v>
      </c>
      <c r="O193" s="81">
        <f t="shared" ca="1" si="19"/>
        <v>245.95837214350385</v>
      </c>
      <c r="P193" s="81">
        <f t="shared" ca="1" si="19"/>
        <v>230.0900900697294</v>
      </c>
      <c r="Q193" s="81">
        <f t="shared" ca="1" si="19"/>
        <v>216.14523612610947</v>
      </c>
      <c r="R193" s="81">
        <f t="shared" ca="1" si="19"/>
        <v>203.79407977604606</v>
      </c>
      <c r="S193" s="81">
        <f t="shared" ca="1" si="19"/>
        <v>192.77818357193544</v>
      </c>
      <c r="T193" s="81">
        <f t="shared" ca="1" si="19"/>
        <v>182.89212287593878</v>
      </c>
      <c r="U193" s="73"/>
    </row>
    <row r="194" spans="1:21" x14ac:dyDescent="0.25">
      <c r="D194" s="77">
        <f t="shared" si="20"/>
        <v>4</v>
      </c>
      <c r="E194" s="81">
        <f t="shared" ca="1" si="21"/>
        <v>861.44840485043619</v>
      </c>
      <c r="F194" s="81">
        <f t="shared" ca="1" si="19"/>
        <v>704.82142215035697</v>
      </c>
      <c r="G194" s="81">
        <f t="shared" ca="1" si="19"/>
        <v>596.38735720414809</v>
      </c>
      <c r="H194" s="81">
        <f t="shared" ca="1" si="19"/>
        <v>516.86904291026167</v>
      </c>
      <c r="I194" s="81">
        <f t="shared" ca="1" si="19"/>
        <v>456.0609202149368</v>
      </c>
      <c r="J194" s="81">
        <f t="shared" ca="1" si="19"/>
        <v>408.05450756073287</v>
      </c>
      <c r="K194" s="81">
        <f t="shared" ca="1" si="19"/>
        <v>369.19217350732976</v>
      </c>
      <c r="L194" s="81">
        <f t="shared" ca="1" si="19"/>
        <v>337.08850624582283</v>
      </c>
      <c r="M194" s="81">
        <f t="shared" ca="1" si="19"/>
        <v>310.121425746157</v>
      </c>
      <c r="N194" s="81">
        <f t="shared" ca="1" si="19"/>
        <v>287.14946828347877</v>
      </c>
      <c r="O194" s="81">
        <f t="shared" ca="1" si="19"/>
        <v>267.34605667772155</v>
      </c>
      <c r="P194" s="81">
        <f t="shared" ca="1" si="19"/>
        <v>250.0979239888363</v>
      </c>
      <c r="Q194" s="81">
        <f t="shared" ca="1" si="19"/>
        <v>234.94047405011895</v>
      </c>
      <c r="R194" s="81">
        <f t="shared" ca="1" si="19"/>
        <v>221.5153041043979</v>
      </c>
      <c r="S194" s="81">
        <f t="shared" ca="1" si="19"/>
        <v>209.54150388253854</v>
      </c>
      <c r="T194" s="81">
        <f t="shared" ca="1" si="19"/>
        <v>198.79578573471605</v>
      </c>
      <c r="U194" s="73"/>
    </row>
    <row r="195" spans="1:21" x14ac:dyDescent="0.25">
      <c r="D195" s="77">
        <f t="shared" si="20"/>
        <v>4.32</v>
      </c>
      <c r="E195" s="81">
        <f t="shared" ca="1" si="21"/>
        <v>930.36427723847123</v>
      </c>
      <c r="F195" s="81">
        <f t="shared" ca="1" si="19"/>
        <v>761.20713592238565</v>
      </c>
      <c r="G195" s="81">
        <f t="shared" ca="1" si="19"/>
        <v>644.09834578048003</v>
      </c>
      <c r="H195" s="81">
        <f t="shared" ca="1" si="19"/>
        <v>558.21856634308278</v>
      </c>
      <c r="I195" s="81">
        <f t="shared" ca="1" si="19"/>
        <v>492.54579383213184</v>
      </c>
      <c r="J195" s="81">
        <f t="shared" ca="1" si="19"/>
        <v>440.69886816559159</v>
      </c>
      <c r="K195" s="81">
        <f t="shared" ca="1" si="19"/>
        <v>398.72754738791622</v>
      </c>
      <c r="L195" s="81">
        <f t="shared" ca="1" si="19"/>
        <v>364.05558674548877</v>
      </c>
      <c r="M195" s="81">
        <f t="shared" ca="1" si="19"/>
        <v>334.93113980584963</v>
      </c>
      <c r="N195" s="81">
        <f t="shared" ca="1" si="19"/>
        <v>310.12142574615706</v>
      </c>
      <c r="O195" s="81">
        <f t="shared" ca="1" si="19"/>
        <v>288.73374121193939</v>
      </c>
      <c r="P195" s="81">
        <f t="shared" ca="1" si="19"/>
        <v>270.1057579079432</v>
      </c>
      <c r="Q195" s="81">
        <f t="shared" ca="1" si="19"/>
        <v>253.73571197412852</v>
      </c>
      <c r="R195" s="81">
        <f t="shared" ca="1" si="19"/>
        <v>239.23652843274976</v>
      </c>
      <c r="S195" s="81">
        <f t="shared" ca="1" si="19"/>
        <v>226.30482419314166</v>
      </c>
      <c r="T195" s="81">
        <f t="shared" ca="1" si="19"/>
        <v>214.69944859349337</v>
      </c>
      <c r="U195" s="73"/>
    </row>
    <row r="196" spans="1:21" x14ac:dyDescent="0.25">
      <c r="D196" s="77">
        <f t="shared" si="20"/>
        <v>4.6399999999999997</v>
      </c>
      <c r="E196" s="81">
        <f t="shared" ca="1" si="21"/>
        <v>999.2801496265057</v>
      </c>
      <c r="F196" s="81">
        <f t="shared" ca="1" si="19"/>
        <v>817.59284969441387</v>
      </c>
      <c r="G196" s="81">
        <f t="shared" ca="1" si="19"/>
        <v>691.80933435681175</v>
      </c>
      <c r="H196" s="81">
        <f t="shared" ca="1" si="19"/>
        <v>599.56808977590345</v>
      </c>
      <c r="I196" s="81">
        <f t="shared" ca="1" si="19"/>
        <v>529.03066744932664</v>
      </c>
      <c r="J196" s="81">
        <f t="shared" ca="1" si="19"/>
        <v>473.34322877045008</v>
      </c>
      <c r="K196" s="81">
        <f t="shared" ca="1" si="19"/>
        <v>428.26292126850251</v>
      </c>
      <c r="L196" s="81">
        <f t="shared" ca="1" si="19"/>
        <v>391.02266724515442</v>
      </c>
      <c r="M196" s="81">
        <f t="shared" ca="1" si="19"/>
        <v>359.74085386554202</v>
      </c>
      <c r="N196" s="81">
        <f t="shared" ca="1" si="19"/>
        <v>333.09338320883529</v>
      </c>
      <c r="O196" s="81">
        <f t="shared" ca="1" si="19"/>
        <v>310.121425746157</v>
      </c>
      <c r="P196" s="81">
        <f t="shared" ca="1" si="19"/>
        <v>290.11359182705002</v>
      </c>
      <c r="Q196" s="81">
        <f t="shared" ca="1" si="19"/>
        <v>272.53094989813792</v>
      </c>
      <c r="R196" s="81">
        <f t="shared" ca="1" si="19"/>
        <v>256.95775276110152</v>
      </c>
      <c r="S196" s="81">
        <f t="shared" ca="1" si="19"/>
        <v>243.06814450374463</v>
      </c>
      <c r="T196" s="81">
        <f t="shared" ca="1" si="19"/>
        <v>230.60311145227058</v>
      </c>
      <c r="U196" s="73"/>
    </row>
    <row r="197" spans="1:21" x14ac:dyDescent="0.25">
      <c r="D197" s="77">
        <f t="shared" si="20"/>
        <v>4.96</v>
      </c>
      <c r="E197" s="81">
        <f t="shared" ca="1" si="21"/>
        <v>1068.1960220145409</v>
      </c>
      <c r="F197" s="81">
        <f t="shared" ca="1" si="19"/>
        <v>873.97856346644267</v>
      </c>
      <c r="G197" s="81">
        <f t="shared" ca="1" si="19"/>
        <v>739.52032293314369</v>
      </c>
      <c r="H197" s="81">
        <f t="shared" ca="1" si="19"/>
        <v>640.91761320872456</v>
      </c>
      <c r="I197" s="81">
        <f t="shared" ca="1" si="19"/>
        <v>565.51554106652168</v>
      </c>
      <c r="J197" s="81">
        <f t="shared" ca="1" si="19"/>
        <v>505.98758937530886</v>
      </c>
      <c r="K197" s="81">
        <f t="shared" ca="1" si="19"/>
        <v>457.79829514908897</v>
      </c>
      <c r="L197" s="81">
        <f t="shared" ca="1" si="19"/>
        <v>417.98974774482031</v>
      </c>
      <c r="M197" s="81">
        <f t="shared" ca="1" si="19"/>
        <v>384.5505679252347</v>
      </c>
      <c r="N197" s="81">
        <f t="shared" ca="1" si="19"/>
        <v>356.06534067151364</v>
      </c>
      <c r="O197" s="81">
        <f t="shared" ca="1" si="19"/>
        <v>331.50911028037478</v>
      </c>
      <c r="P197" s="81">
        <f t="shared" ca="1" si="19"/>
        <v>310.121425746157</v>
      </c>
      <c r="Q197" s="81">
        <f t="shared" ca="1" si="19"/>
        <v>291.32618782214752</v>
      </c>
      <c r="R197" s="81">
        <f t="shared" ca="1" si="19"/>
        <v>274.67897708945338</v>
      </c>
      <c r="S197" s="81">
        <f t="shared" ca="1" si="19"/>
        <v>259.83146481434778</v>
      </c>
      <c r="T197" s="81">
        <f t="shared" ca="1" si="19"/>
        <v>246.50677431104793</v>
      </c>
      <c r="U197" s="73"/>
    </row>
    <row r="198" spans="1:21" x14ac:dyDescent="0.25">
      <c r="D198" s="77">
        <f t="shared" si="20"/>
        <v>5.28</v>
      </c>
      <c r="E198" s="81">
        <f t="shared" ca="1" si="21"/>
        <v>1137.1118944025757</v>
      </c>
      <c r="F198" s="81">
        <f t="shared" ref="F198:T201" ca="1" si="22">(PI()*1025*9.81*$D198*$C$180)/(4*F$181)/1000</f>
        <v>930.36427723847123</v>
      </c>
      <c r="G198" s="81">
        <f t="shared" ca="1" si="22"/>
        <v>787.23131150947563</v>
      </c>
      <c r="H198" s="81">
        <f t="shared" ca="1" si="22"/>
        <v>682.26713664154556</v>
      </c>
      <c r="I198" s="81">
        <f t="shared" ca="1" si="22"/>
        <v>602.0004146837166</v>
      </c>
      <c r="J198" s="81">
        <f t="shared" ca="1" si="22"/>
        <v>538.63194998016741</v>
      </c>
      <c r="K198" s="81">
        <f t="shared" ca="1" si="22"/>
        <v>487.33366902967532</v>
      </c>
      <c r="L198" s="81">
        <f t="shared" ca="1" si="22"/>
        <v>444.95682824448619</v>
      </c>
      <c r="M198" s="81">
        <f t="shared" ca="1" si="22"/>
        <v>409.36028198492727</v>
      </c>
      <c r="N198" s="81">
        <f t="shared" ca="1" si="22"/>
        <v>379.03729813419193</v>
      </c>
      <c r="O198" s="81">
        <f t="shared" ca="1" si="22"/>
        <v>352.89679481459251</v>
      </c>
      <c r="P198" s="81">
        <f t="shared" ca="1" si="22"/>
        <v>330.12925966526393</v>
      </c>
      <c r="Q198" s="81">
        <f t="shared" ca="1" si="22"/>
        <v>310.121425746157</v>
      </c>
      <c r="R198" s="81">
        <f t="shared" ca="1" si="22"/>
        <v>292.40020141780519</v>
      </c>
      <c r="S198" s="81">
        <f t="shared" ca="1" si="22"/>
        <v>276.59478512495087</v>
      </c>
      <c r="T198" s="81">
        <f t="shared" ca="1" si="22"/>
        <v>262.41043716982517</v>
      </c>
      <c r="U198" s="73"/>
    </row>
    <row r="199" spans="1:21" x14ac:dyDescent="0.25">
      <c r="D199" s="77">
        <f t="shared" si="20"/>
        <v>5.6000000000000005</v>
      </c>
      <c r="E199" s="81">
        <f t="shared" ca="1" si="21"/>
        <v>1206.0277667906107</v>
      </c>
      <c r="F199" s="81">
        <f t="shared" ca="1" si="22"/>
        <v>986.7499910104998</v>
      </c>
      <c r="G199" s="81">
        <f t="shared" ca="1" si="22"/>
        <v>834.94230008580746</v>
      </c>
      <c r="H199" s="81">
        <f t="shared" ca="1" si="22"/>
        <v>723.61666007436645</v>
      </c>
      <c r="I199" s="81">
        <f t="shared" ca="1" si="22"/>
        <v>638.48528830091152</v>
      </c>
      <c r="J199" s="81">
        <f t="shared" ca="1" si="22"/>
        <v>571.27631058502618</v>
      </c>
      <c r="K199" s="81">
        <f t="shared" ca="1" si="22"/>
        <v>516.86904291026167</v>
      </c>
      <c r="L199" s="81">
        <f t="shared" ca="1" si="22"/>
        <v>471.92390874415202</v>
      </c>
      <c r="M199" s="81">
        <f t="shared" ca="1" si="22"/>
        <v>434.16999604461984</v>
      </c>
      <c r="N199" s="81">
        <f t="shared" ca="1" si="22"/>
        <v>402.00925559687028</v>
      </c>
      <c r="O199" s="81">
        <f t="shared" ca="1" si="22"/>
        <v>374.28447934881024</v>
      </c>
      <c r="P199" s="81">
        <f t="shared" ca="1" si="22"/>
        <v>350.1370935843708</v>
      </c>
      <c r="Q199" s="81">
        <f t="shared" ca="1" si="22"/>
        <v>328.91666367016654</v>
      </c>
      <c r="R199" s="81">
        <f t="shared" ca="1" si="22"/>
        <v>310.12142574615706</v>
      </c>
      <c r="S199" s="81">
        <f t="shared" ca="1" si="22"/>
        <v>293.35810543555397</v>
      </c>
      <c r="T199" s="81">
        <f t="shared" ca="1" si="22"/>
        <v>278.31410002860247</v>
      </c>
      <c r="U199" s="73"/>
    </row>
    <row r="200" spans="1:21" x14ac:dyDescent="0.25">
      <c r="D200" s="77">
        <f t="shared" si="20"/>
        <v>5.92</v>
      </c>
      <c r="E200" s="81">
        <f t="shared" ca="1" si="21"/>
        <v>1274.9436391786455</v>
      </c>
      <c r="F200" s="81">
        <f t="shared" ca="1" si="22"/>
        <v>1043.1357047825284</v>
      </c>
      <c r="G200" s="81">
        <f t="shared" ca="1" si="22"/>
        <v>882.65328866213929</v>
      </c>
      <c r="H200" s="81">
        <f t="shared" ca="1" si="22"/>
        <v>764.96618350718745</v>
      </c>
      <c r="I200" s="81">
        <f t="shared" ca="1" si="22"/>
        <v>674.97016191810644</v>
      </c>
      <c r="J200" s="81">
        <f t="shared" ca="1" si="22"/>
        <v>603.92067118988473</v>
      </c>
      <c r="K200" s="81">
        <f t="shared" ca="1" si="22"/>
        <v>546.40441679084813</v>
      </c>
      <c r="L200" s="81">
        <f t="shared" ca="1" si="22"/>
        <v>498.89098924381784</v>
      </c>
      <c r="M200" s="81">
        <f t="shared" ca="1" si="22"/>
        <v>458.9797101043124</v>
      </c>
      <c r="N200" s="81">
        <f t="shared" ca="1" si="22"/>
        <v>424.98121305954857</v>
      </c>
      <c r="O200" s="81">
        <f t="shared" ca="1" si="22"/>
        <v>395.67216388302796</v>
      </c>
      <c r="P200" s="81">
        <f t="shared" ca="1" si="22"/>
        <v>370.14492750347773</v>
      </c>
      <c r="Q200" s="81">
        <f t="shared" ca="1" si="22"/>
        <v>347.71190159417608</v>
      </c>
      <c r="R200" s="81">
        <f t="shared" ca="1" si="22"/>
        <v>327.84265007450892</v>
      </c>
      <c r="S200" s="81">
        <f t="shared" ca="1" si="22"/>
        <v>310.121425746157</v>
      </c>
      <c r="T200" s="81">
        <f t="shared" ca="1" si="22"/>
        <v>294.21776288737982</v>
      </c>
      <c r="U200" s="73"/>
    </row>
    <row r="201" spans="1:21" x14ac:dyDescent="0.25">
      <c r="D201" s="77">
        <f t="shared" si="20"/>
        <v>6.24</v>
      </c>
      <c r="E201" s="81">
        <f t="shared" ca="1" si="21"/>
        <v>1343.8595115666803</v>
      </c>
      <c r="F201" s="81">
        <f t="shared" ca="1" si="22"/>
        <v>1099.5214185545567</v>
      </c>
      <c r="G201" s="81">
        <f t="shared" ca="1" si="22"/>
        <v>930.36427723847123</v>
      </c>
      <c r="H201" s="81">
        <f t="shared" ca="1" si="22"/>
        <v>806.31570694000834</v>
      </c>
      <c r="I201" s="81">
        <f t="shared" ca="1" si="22"/>
        <v>711.45503553530148</v>
      </c>
      <c r="J201" s="81">
        <f t="shared" ca="1" si="22"/>
        <v>636.56503179474339</v>
      </c>
      <c r="K201" s="81">
        <f t="shared" ca="1" si="22"/>
        <v>575.93979067143448</v>
      </c>
      <c r="L201" s="81">
        <f t="shared" ca="1" si="22"/>
        <v>525.85806974348372</v>
      </c>
      <c r="M201" s="81">
        <f t="shared" ca="1" si="22"/>
        <v>483.78942416400497</v>
      </c>
      <c r="N201" s="81">
        <f t="shared" ca="1" si="22"/>
        <v>447.95317052222691</v>
      </c>
      <c r="O201" s="81">
        <f t="shared" ca="1" si="22"/>
        <v>417.05984841724575</v>
      </c>
      <c r="P201" s="81">
        <f t="shared" ca="1" si="22"/>
        <v>390.15276142258466</v>
      </c>
      <c r="Q201" s="81">
        <f t="shared" ca="1" si="22"/>
        <v>366.50713951818557</v>
      </c>
      <c r="R201" s="81">
        <f t="shared" ca="1" si="22"/>
        <v>345.56387440286073</v>
      </c>
      <c r="S201" s="81">
        <f t="shared" ca="1" si="22"/>
        <v>326.88474605676015</v>
      </c>
      <c r="T201" s="81">
        <f t="shared" ca="1" si="22"/>
        <v>310.12142574615706</v>
      </c>
      <c r="U201" s="73"/>
    </row>
    <row r="202" spans="1:21" x14ac:dyDescent="0.25">
      <c r="D202" s="77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73"/>
    </row>
    <row r="203" spans="1:21" x14ac:dyDescent="0.25">
      <c r="A203" s="45" t="s">
        <v>156</v>
      </c>
    </row>
    <row r="204" spans="1:21" x14ac:dyDescent="0.25">
      <c r="C204" s="82"/>
      <c r="E204" s="43" t="s">
        <v>152</v>
      </c>
      <c r="F204" s="51"/>
      <c r="G204" s="51"/>
      <c r="H204" s="51"/>
      <c r="I204" s="51"/>
      <c r="S204" s="74"/>
      <c r="T204" s="74"/>
    </row>
    <row r="205" spans="1:21" x14ac:dyDescent="0.25">
      <c r="D205" s="75"/>
      <c r="E205" s="76">
        <v>4.5</v>
      </c>
      <c r="F205" s="76">
        <v>5.5</v>
      </c>
      <c r="G205" s="76">
        <v>6.5</v>
      </c>
      <c r="H205" s="76">
        <v>7.5</v>
      </c>
      <c r="I205" s="76">
        <v>8.5</v>
      </c>
      <c r="J205" s="76">
        <v>9.5</v>
      </c>
      <c r="K205" s="76">
        <v>10.5</v>
      </c>
      <c r="L205" s="76">
        <v>11.5</v>
      </c>
      <c r="M205" s="76">
        <v>12.5</v>
      </c>
      <c r="N205" s="76">
        <v>13.5</v>
      </c>
      <c r="O205" s="76">
        <v>14.5</v>
      </c>
      <c r="P205" s="76">
        <v>15.5</v>
      </c>
      <c r="Q205" s="76">
        <v>16.5</v>
      </c>
      <c r="R205" s="76">
        <v>17.5</v>
      </c>
      <c r="S205" s="76">
        <v>18.5</v>
      </c>
      <c r="T205" s="76">
        <v>19.5</v>
      </c>
    </row>
    <row r="206" spans="1:21" x14ac:dyDescent="0.25">
      <c r="C206" s="43" t="s">
        <v>151</v>
      </c>
      <c r="D206" s="77">
        <f>D182</f>
        <v>0.16</v>
      </c>
      <c r="E206" s="81">
        <f ca="1">IF(E182&gt;E157,E157,E182)</f>
        <v>0.89423868309939181</v>
      </c>
      <c r="F206" s="81">
        <f t="shared" ref="F206:T206" ca="1" si="23">IF(F182&gt;F157,F157,F182)</f>
        <v>1.6326909289510152</v>
      </c>
      <c r="G206" s="81">
        <f t="shared" ca="1" si="23"/>
        <v>2.6949826979003615</v>
      </c>
      <c r="H206" s="81">
        <f t="shared" ca="1" si="23"/>
        <v>4.1399939032379232</v>
      </c>
      <c r="I206" s="81">
        <f t="shared" ca="1" si="23"/>
        <v>6.026604458254198</v>
      </c>
      <c r="J206" s="81">
        <f t="shared" ca="1" si="23"/>
        <v>8.4136942762396796</v>
      </c>
      <c r="K206" s="81">
        <f t="shared" ca="1" si="23"/>
        <v>11.360143270484865</v>
      </c>
      <c r="L206" s="81">
        <f t="shared" ca="1" si="23"/>
        <v>13.483540249832915</v>
      </c>
      <c r="M206" s="81">
        <f t="shared" ca="1" si="23"/>
        <v>12.404857029846282</v>
      </c>
      <c r="N206" s="81">
        <f t="shared" ca="1" si="23"/>
        <v>11.485978731339152</v>
      </c>
      <c r="O206" s="81">
        <f t="shared" ca="1" si="23"/>
        <v>10.693842267108865</v>
      </c>
      <c r="P206" s="81">
        <f t="shared" ca="1" si="23"/>
        <v>10.003916959553454</v>
      </c>
      <c r="Q206" s="81">
        <f t="shared" ca="1" si="23"/>
        <v>9.3976189620047581</v>
      </c>
      <c r="R206" s="81">
        <f t="shared" ca="1" si="23"/>
        <v>8.860612164175917</v>
      </c>
      <c r="S206" s="81">
        <f t="shared" ca="1" si="23"/>
        <v>8.3816601553015424</v>
      </c>
      <c r="T206" s="81">
        <f t="shared" ca="1" si="23"/>
        <v>7.9518314293886432</v>
      </c>
    </row>
    <row r="207" spans="1:21" x14ac:dyDescent="0.25">
      <c r="D207" s="77">
        <f t="shared" ref="D207:D225" si="24">D183</f>
        <v>0.48</v>
      </c>
      <c r="E207" s="81">
        <f t="shared" ref="E207:T207" ca="1" si="25">IF(E183&gt;E158,E158,E183)</f>
        <v>8.0481481478945245</v>
      </c>
      <c r="F207" s="81">
        <f t="shared" ca="1" si="25"/>
        <v>14.694218360559136</v>
      </c>
      <c r="G207" s="81">
        <f t="shared" ca="1" si="25"/>
        <v>24.254844281103249</v>
      </c>
      <c r="H207" s="81">
        <f t="shared" ca="1" si="25"/>
        <v>37.259945129141308</v>
      </c>
      <c r="I207" s="81">
        <f t="shared" ca="1" si="25"/>
        <v>54.239440124287782</v>
      </c>
      <c r="J207" s="81">
        <f t="shared" ca="1" si="25"/>
        <v>48.966540907287943</v>
      </c>
      <c r="K207" s="81">
        <f t="shared" ca="1" si="25"/>
        <v>44.303060820879566</v>
      </c>
      <c r="L207" s="81">
        <f t="shared" ca="1" si="25"/>
        <v>40.450620749498732</v>
      </c>
      <c r="M207" s="81">
        <f t="shared" ca="1" si="25"/>
        <v>37.214571089538836</v>
      </c>
      <c r="N207" s="81">
        <f t="shared" ca="1" si="25"/>
        <v>34.457936194017442</v>
      </c>
      <c r="O207" s="81">
        <f t="shared" ca="1" si="25"/>
        <v>32.081526801326582</v>
      </c>
      <c r="P207" s="81">
        <f t="shared" ca="1" si="25"/>
        <v>30.011750878660351</v>
      </c>
      <c r="Q207" s="81">
        <f t="shared" ca="1" si="25"/>
        <v>28.192856886014269</v>
      </c>
      <c r="R207" s="81">
        <f t="shared" ca="1" si="25"/>
        <v>26.581836492527742</v>
      </c>
      <c r="S207" s="81">
        <f t="shared" ca="1" si="25"/>
        <v>25.14498046590462</v>
      </c>
      <c r="T207" s="81">
        <f t="shared" ca="1" si="25"/>
        <v>23.855494288165922</v>
      </c>
    </row>
    <row r="208" spans="1:21" x14ac:dyDescent="0.25">
      <c r="D208" s="77">
        <f t="shared" si="24"/>
        <v>0.8</v>
      </c>
      <c r="E208" s="81">
        <f t="shared" ref="E208:T208" ca="1" si="26">IF(E184&gt;E159,E159,E184)</f>
        <v>22.355967077484799</v>
      </c>
      <c r="F208" s="81">
        <f t="shared" ca="1" si="26"/>
        <v>40.817273223775388</v>
      </c>
      <c r="G208" s="81">
        <f t="shared" ca="1" si="26"/>
        <v>67.374567447509051</v>
      </c>
      <c r="H208" s="81">
        <f t="shared" ca="1" si="26"/>
        <v>103.37380858205236</v>
      </c>
      <c r="I208" s="81">
        <f t="shared" ca="1" si="26"/>
        <v>91.212184042987374</v>
      </c>
      <c r="J208" s="81">
        <f t="shared" ca="1" si="26"/>
        <v>81.610901512146597</v>
      </c>
      <c r="K208" s="81">
        <f t="shared" ca="1" si="26"/>
        <v>73.838434701465957</v>
      </c>
      <c r="L208" s="81">
        <f t="shared" ca="1" si="26"/>
        <v>67.41770124916458</v>
      </c>
      <c r="M208" s="81">
        <f t="shared" ca="1" si="26"/>
        <v>62.024285149231403</v>
      </c>
      <c r="N208" s="81">
        <f t="shared" ca="1" si="26"/>
        <v>57.429893656695747</v>
      </c>
      <c r="O208" s="81">
        <f t="shared" ca="1" si="26"/>
        <v>53.469211335544315</v>
      </c>
      <c r="P208" s="81">
        <f t="shared" ca="1" si="26"/>
        <v>50.019584797767259</v>
      </c>
      <c r="Q208" s="81">
        <f t="shared" ca="1" si="26"/>
        <v>46.988094810023796</v>
      </c>
      <c r="R208" s="81">
        <f t="shared" ca="1" si="26"/>
        <v>44.30306082087958</v>
      </c>
      <c r="S208" s="81">
        <f t="shared" ca="1" si="26"/>
        <v>41.908300776507708</v>
      </c>
      <c r="T208" s="81">
        <f t="shared" ca="1" si="26"/>
        <v>39.75915714694321</v>
      </c>
    </row>
    <row r="209" spans="4:20" x14ac:dyDescent="0.25">
      <c r="D209" s="77">
        <f t="shared" si="24"/>
        <v>1.1200000000000001</v>
      </c>
      <c r="E209" s="81">
        <f t="shared" ref="E209:T209" ca="1" si="27">IF(E185&gt;E160,E160,E185)</f>
        <v>43.817695471870195</v>
      </c>
      <c r="F209" s="81">
        <f t="shared" ca="1" si="27"/>
        <v>80.001855518599754</v>
      </c>
      <c r="G209" s="81">
        <f t="shared" ca="1" si="27"/>
        <v>132.0541521971177</v>
      </c>
      <c r="H209" s="81">
        <f t="shared" ca="1" si="27"/>
        <v>144.72333201487331</v>
      </c>
      <c r="I209" s="81">
        <f t="shared" ca="1" si="27"/>
        <v>127.69705766018232</v>
      </c>
      <c r="J209" s="81">
        <f t="shared" ca="1" si="27"/>
        <v>114.25526211700523</v>
      </c>
      <c r="K209" s="81">
        <f t="shared" ca="1" si="27"/>
        <v>103.37380858205236</v>
      </c>
      <c r="L209" s="81">
        <f t="shared" ca="1" si="27"/>
        <v>94.384781748830406</v>
      </c>
      <c r="M209" s="81">
        <f t="shared" ca="1" si="27"/>
        <v>86.83399920892397</v>
      </c>
      <c r="N209" s="81">
        <f t="shared" ca="1" si="27"/>
        <v>80.401851119374058</v>
      </c>
      <c r="O209" s="81">
        <f t="shared" ca="1" si="27"/>
        <v>74.856895869762056</v>
      </c>
      <c r="P209" s="81">
        <f t="shared" ca="1" si="27"/>
        <v>70.027418716874166</v>
      </c>
      <c r="Q209" s="81">
        <f t="shared" ca="1" si="27"/>
        <v>65.783332734033323</v>
      </c>
      <c r="R209" s="81">
        <f t="shared" ca="1" si="27"/>
        <v>62.024285149231417</v>
      </c>
      <c r="S209" s="81">
        <f t="shared" ca="1" si="27"/>
        <v>58.671621087110793</v>
      </c>
      <c r="T209" s="81">
        <f t="shared" ca="1" si="27"/>
        <v>55.662820005720498</v>
      </c>
    </row>
    <row r="210" spans="4:20" x14ac:dyDescent="0.25">
      <c r="D210" s="77">
        <f t="shared" si="24"/>
        <v>1.44</v>
      </c>
      <c r="E210" s="81">
        <f t="shared" ref="E210:T210" ca="1" si="28">IF(E186&gt;E161,E161,E186)</f>
        <v>72.433333331050733</v>
      </c>
      <c r="F210" s="81">
        <f t="shared" ca="1" si="28"/>
        <v>132.24796524503222</v>
      </c>
      <c r="G210" s="81">
        <f t="shared" ca="1" si="28"/>
        <v>214.69944859349332</v>
      </c>
      <c r="H210" s="81">
        <f t="shared" ca="1" si="28"/>
        <v>186.07285544769422</v>
      </c>
      <c r="I210" s="81">
        <f t="shared" ca="1" si="28"/>
        <v>164.18193127737723</v>
      </c>
      <c r="J210" s="81">
        <f t="shared" ca="1" si="28"/>
        <v>146.89962272186386</v>
      </c>
      <c r="K210" s="81">
        <f t="shared" ca="1" si="28"/>
        <v>132.90918246263871</v>
      </c>
      <c r="L210" s="81">
        <f t="shared" ca="1" si="28"/>
        <v>121.35186224849623</v>
      </c>
      <c r="M210" s="81">
        <f t="shared" ca="1" si="28"/>
        <v>111.64371326861652</v>
      </c>
      <c r="N210" s="81">
        <f t="shared" ca="1" si="28"/>
        <v>103.37380858205235</v>
      </c>
      <c r="O210" s="81">
        <f t="shared" ca="1" si="28"/>
        <v>96.244580403979768</v>
      </c>
      <c r="P210" s="81">
        <f t="shared" ca="1" si="28"/>
        <v>90.035252635981053</v>
      </c>
      <c r="Q210" s="81">
        <f t="shared" ca="1" si="28"/>
        <v>84.578570658042821</v>
      </c>
      <c r="R210" s="81">
        <f t="shared" ca="1" si="28"/>
        <v>79.745509477583241</v>
      </c>
      <c r="S210" s="81">
        <f t="shared" ca="1" si="28"/>
        <v>75.434941397713857</v>
      </c>
      <c r="T210" s="81">
        <f t="shared" ca="1" si="28"/>
        <v>71.566482864497786</v>
      </c>
    </row>
    <row r="211" spans="4:20" x14ac:dyDescent="0.25">
      <c r="D211" s="77">
        <f t="shared" si="24"/>
        <v>1.76</v>
      </c>
      <c r="E211" s="81">
        <f t="shared" ref="E211:T211" ca="1" si="29">IF(E187&gt;E162,E162,E187)</f>
        <v>108.20288065502638</v>
      </c>
      <c r="F211" s="81">
        <f t="shared" ca="1" si="29"/>
        <v>197.55560240307281</v>
      </c>
      <c r="G211" s="81">
        <f t="shared" ca="1" si="29"/>
        <v>262.41043716982517</v>
      </c>
      <c r="H211" s="81">
        <f t="shared" ca="1" si="29"/>
        <v>227.42237888051517</v>
      </c>
      <c r="I211" s="81">
        <f t="shared" ca="1" si="29"/>
        <v>200.66680489457221</v>
      </c>
      <c r="J211" s="81">
        <f t="shared" ca="1" si="29"/>
        <v>179.5439833267225</v>
      </c>
      <c r="K211" s="81">
        <f t="shared" ca="1" si="29"/>
        <v>162.44455634322512</v>
      </c>
      <c r="L211" s="81">
        <f t="shared" ca="1" si="29"/>
        <v>148.31894274816204</v>
      </c>
      <c r="M211" s="81">
        <f t="shared" ca="1" si="29"/>
        <v>136.45342732830909</v>
      </c>
      <c r="N211" s="81">
        <f t="shared" ca="1" si="29"/>
        <v>126.34576604473065</v>
      </c>
      <c r="O211" s="81">
        <f t="shared" ca="1" si="29"/>
        <v>117.63226493819751</v>
      </c>
      <c r="P211" s="81">
        <f t="shared" ca="1" si="29"/>
        <v>110.04308655508797</v>
      </c>
      <c r="Q211" s="81">
        <f t="shared" ca="1" si="29"/>
        <v>103.37380858205235</v>
      </c>
      <c r="R211" s="81">
        <f t="shared" ca="1" si="29"/>
        <v>97.466733805935078</v>
      </c>
      <c r="S211" s="81">
        <f t="shared" ca="1" si="29"/>
        <v>92.198261708316963</v>
      </c>
      <c r="T211" s="81">
        <f t="shared" ca="1" si="29"/>
        <v>87.470145723275067</v>
      </c>
    </row>
    <row r="212" spans="4:20" x14ac:dyDescent="0.25">
      <c r="D212" s="77">
        <f t="shared" si="24"/>
        <v>2.08</v>
      </c>
      <c r="E212" s="81">
        <f t="shared" ref="E212:T212" ca="1" si="30">IF(E188&gt;E163,E163,E188)</f>
        <v>151.12633744379721</v>
      </c>
      <c r="F212" s="81">
        <f t="shared" ca="1" si="30"/>
        <v>275.92476699272157</v>
      </c>
      <c r="G212" s="81">
        <f t="shared" ca="1" si="30"/>
        <v>310.12142574615706</v>
      </c>
      <c r="H212" s="81">
        <f t="shared" ca="1" si="30"/>
        <v>268.77190231333617</v>
      </c>
      <c r="I212" s="81">
        <f t="shared" ca="1" si="30"/>
        <v>237.15167851176716</v>
      </c>
      <c r="J212" s="81">
        <f t="shared" ca="1" si="30"/>
        <v>212.18834393158113</v>
      </c>
      <c r="K212" s="81">
        <f t="shared" ca="1" si="30"/>
        <v>191.97993022381149</v>
      </c>
      <c r="L212" s="81">
        <f t="shared" ca="1" si="30"/>
        <v>175.2860232478279</v>
      </c>
      <c r="M212" s="81">
        <f t="shared" ca="1" si="30"/>
        <v>161.26314138800166</v>
      </c>
      <c r="N212" s="81">
        <f t="shared" ca="1" si="30"/>
        <v>149.31772350740894</v>
      </c>
      <c r="O212" s="81">
        <f t="shared" ca="1" si="30"/>
        <v>139.01994947241522</v>
      </c>
      <c r="P212" s="81">
        <f t="shared" ca="1" si="30"/>
        <v>130.05092047419487</v>
      </c>
      <c r="Q212" s="81">
        <f t="shared" ca="1" si="30"/>
        <v>122.16904650606187</v>
      </c>
      <c r="R212" s="81">
        <f t="shared" ca="1" si="30"/>
        <v>115.1879581342869</v>
      </c>
      <c r="S212" s="81">
        <f t="shared" ca="1" si="30"/>
        <v>108.96158201892004</v>
      </c>
      <c r="T212" s="81">
        <f t="shared" ca="1" si="30"/>
        <v>103.37380858205236</v>
      </c>
    </row>
    <row r="213" spans="4:20" x14ac:dyDescent="0.25">
      <c r="D213" s="77">
        <f t="shared" si="24"/>
        <v>2.4</v>
      </c>
      <c r="E213" s="81">
        <f t="shared" ref="E213:T213" ca="1" si="31">IF(E189&gt;E164,E164,E189)</f>
        <v>201.20370369736312</v>
      </c>
      <c r="F213" s="81">
        <f t="shared" ca="1" si="31"/>
        <v>367.35545901397836</v>
      </c>
      <c r="G213" s="81">
        <f t="shared" ca="1" si="31"/>
        <v>357.83241432248883</v>
      </c>
      <c r="H213" s="81">
        <f t="shared" ca="1" si="31"/>
        <v>310.121425746157</v>
      </c>
      <c r="I213" s="81">
        <f t="shared" ca="1" si="31"/>
        <v>273.63655212896208</v>
      </c>
      <c r="J213" s="81">
        <f t="shared" ca="1" si="31"/>
        <v>244.83270453643973</v>
      </c>
      <c r="K213" s="81">
        <f t="shared" ca="1" si="31"/>
        <v>221.51530410439787</v>
      </c>
      <c r="L213" s="81">
        <f t="shared" ca="1" si="31"/>
        <v>202.2531037474937</v>
      </c>
      <c r="M213" s="81">
        <f t="shared" ca="1" si="31"/>
        <v>186.0728554476942</v>
      </c>
      <c r="N213" s="81">
        <f t="shared" ca="1" si="31"/>
        <v>172.28968097008723</v>
      </c>
      <c r="O213" s="81">
        <f t="shared" ca="1" si="31"/>
        <v>160.40763400663292</v>
      </c>
      <c r="P213" s="81">
        <f t="shared" ca="1" si="31"/>
        <v>150.05875439330177</v>
      </c>
      <c r="Q213" s="81">
        <f t="shared" ca="1" si="31"/>
        <v>140.96428443007136</v>
      </c>
      <c r="R213" s="81">
        <f t="shared" ca="1" si="31"/>
        <v>132.90918246263874</v>
      </c>
      <c r="S213" s="81">
        <f t="shared" ca="1" si="31"/>
        <v>125.7249023295231</v>
      </c>
      <c r="T213" s="81">
        <f t="shared" ca="1" si="31"/>
        <v>119.27747144082963</v>
      </c>
    </row>
    <row r="214" spans="4:20" x14ac:dyDescent="0.25">
      <c r="D214" s="77">
        <f t="shared" si="24"/>
        <v>2.72</v>
      </c>
      <c r="E214" s="81">
        <f t="shared" ref="E214:T214" ca="1" si="32">IF(E190&gt;E165,E165,E190)</f>
        <v>258.43497941572429</v>
      </c>
      <c r="F214" s="81">
        <f t="shared" ca="1" si="32"/>
        <v>471.84767846684343</v>
      </c>
      <c r="G214" s="81">
        <f t="shared" ca="1" si="32"/>
        <v>405.54340289882077</v>
      </c>
      <c r="H214" s="81">
        <f t="shared" ca="1" si="32"/>
        <v>351.47094917897806</v>
      </c>
      <c r="I214" s="81">
        <f t="shared" ca="1" si="32"/>
        <v>310.12142574615706</v>
      </c>
      <c r="J214" s="81">
        <f t="shared" ca="1" si="32"/>
        <v>277.4770651412984</v>
      </c>
      <c r="K214" s="81">
        <f t="shared" ca="1" si="32"/>
        <v>251.05067798498428</v>
      </c>
      <c r="L214" s="81">
        <f t="shared" ca="1" si="32"/>
        <v>229.22018424715958</v>
      </c>
      <c r="M214" s="81">
        <f t="shared" ca="1" si="32"/>
        <v>210.88256950738679</v>
      </c>
      <c r="N214" s="81">
        <f t="shared" ca="1" si="32"/>
        <v>195.26163843276555</v>
      </c>
      <c r="O214" s="81">
        <f t="shared" ca="1" si="32"/>
        <v>181.79531854085067</v>
      </c>
      <c r="P214" s="81">
        <f t="shared" ca="1" si="32"/>
        <v>170.06658831240867</v>
      </c>
      <c r="Q214" s="81">
        <f t="shared" ca="1" si="32"/>
        <v>159.75952235408093</v>
      </c>
      <c r="R214" s="81">
        <f t="shared" ca="1" si="32"/>
        <v>150.63040679099058</v>
      </c>
      <c r="S214" s="81">
        <f t="shared" ca="1" si="32"/>
        <v>142.48822264012622</v>
      </c>
      <c r="T214" s="81">
        <f t="shared" ca="1" si="32"/>
        <v>135.18113429960692</v>
      </c>
    </row>
    <row r="215" spans="4:20" x14ac:dyDescent="0.25">
      <c r="D215" s="77">
        <f t="shared" si="24"/>
        <v>3.04</v>
      </c>
      <c r="E215" s="81">
        <f t="shared" ref="E215:T215" ca="1" si="33">IF(E191&gt;E166,E166,E191)</f>
        <v>322.82016459888041</v>
      </c>
      <c r="F215" s="81">
        <f t="shared" ca="1" si="33"/>
        <v>535.66428083427127</v>
      </c>
      <c r="G215" s="81">
        <f t="shared" ca="1" si="33"/>
        <v>453.2543914751526</v>
      </c>
      <c r="H215" s="81">
        <f t="shared" ca="1" si="33"/>
        <v>392.82047261179889</v>
      </c>
      <c r="I215" s="81">
        <f t="shared" ca="1" si="33"/>
        <v>346.60629936335204</v>
      </c>
      <c r="J215" s="81">
        <f t="shared" ca="1" si="33"/>
        <v>310.121425746157</v>
      </c>
      <c r="K215" s="81">
        <f t="shared" ca="1" si="33"/>
        <v>280.58605186557065</v>
      </c>
      <c r="L215" s="81">
        <f t="shared" ca="1" si="33"/>
        <v>256.18726474682535</v>
      </c>
      <c r="M215" s="81">
        <f t="shared" ca="1" si="33"/>
        <v>235.6922835670793</v>
      </c>
      <c r="N215" s="81">
        <f t="shared" ca="1" si="33"/>
        <v>218.23359589544384</v>
      </c>
      <c r="O215" s="81">
        <f t="shared" ca="1" si="33"/>
        <v>203.1830030750684</v>
      </c>
      <c r="P215" s="81">
        <f t="shared" ca="1" si="33"/>
        <v>190.07442223151557</v>
      </c>
      <c r="Q215" s="81">
        <f t="shared" ca="1" si="33"/>
        <v>178.55476027809038</v>
      </c>
      <c r="R215" s="81">
        <f t="shared" ca="1" si="33"/>
        <v>168.35163111934241</v>
      </c>
      <c r="S215" s="81">
        <f t="shared" ca="1" si="33"/>
        <v>159.25154295072929</v>
      </c>
      <c r="T215" s="81">
        <f t="shared" ca="1" si="33"/>
        <v>151.08479715838419</v>
      </c>
    </row>
    <row r="216" spans="4:20" x14ac:dyDescent="0.25">
      <c r="D216" s="77">
        <f t="shared" si="24"/>
        <v>3.36</v>
      </c>
      <c r="E216" s="81">
        <f t="shared" ref="E216:T216" ca="1" si="34">IF(E192&gt;E167,E167,E192)</f>
        <v>394.3592592468317</v>
      </c>
      <c r="F216" s="81">
        <f t="shared" ca="1" si="34"/>
        <v>592.04999460629983</v>
      </c>
      <c r="G216" s="81">
        <f t="shared" ca="1" si="34"/>
        <v>500.96538005148443</v>
      </c>
      <c r="H216" s="81">
        <f t="shared" ca="1" si="34"/>
        <v>434.16999604461989</v>
      </c>
      <c r="I216" s="81">
        <f t="shared" ca="1" si="34"/>
        <v>383.09117298054696</v>
      </c>
      <c r="J216" s="81">
        <f t="shared" ca="1" si="34"/>
        <v>342.76578635101566</v>
      </c>
      <c r="K216" s="81">
        <f t="shared" ca="1" si="34"/>
        <v>310.121425746157</v>
      </c>
      <c r="L216" s="81">
        <f t="shared" ca="1" si="34"/>
        <v>283.15434524649118</v>
      </c>
      <c r="M216" s="81">
        <f t="shared" ca="1" si="34"/>
        <v>260.50199762677187</v>
      </c>
      <c r="N216" s="81">
        <f t="shared" ca="1" si="34"/>
        <v>241.20555335812216</v>
      </c>
      <c r="O216" s="81">
        <f t="shared" ca="1" si="34"/>
        <v>224.57068760928613</v>
      </c>
      <c r="P216" s="81">
        <f t="shared" ca="1" si="34"/>
        <v>210.08225615062247</v>
      </c>
      <c r="Q216" s="81">
        <f t="shared" ca="1" si="34"/>
        <v>197.34999820209993</v>
      </c>
      <c r="R216" s="81">
        <f t="shared" ca="1" si="34"/>
        <v>186.07285544769422</v>
      </c>
      <c r="S216" s="81">
        <f t="shared" ca="1" si="34"/>
        <v>176.01486326133235</v>
      </c>
      <c r="T216" s="81">
        <f t="shared" ca="1" si="34"/>
        <v>166.98846001716149</v>
      </c>
    </row>
    <row r="217" spans="4:20" x14ac:dyDescent="0.25">
      <c r="D217" s="77">
        <f t="shared" si="24"/>
        <v>3.68</v>
      </c>
      <c r="E217" s="81">
        <f t="shared" ref="E217:T217" ca="1" si="35">IF(E193&gt;E168,E168,E193)</f>
        <v>473.05226335957821</v>
      </c>
      <c r="F217" s="81">
        <f t="shared" ca="1" si="35"/>
        <v>648.4357083783284</v>
      </c>
      <c r="G217" s="81">
        <f t="shared" ca="1" si="35"/>
        <v>548.67636862781637</v>
      </c>
      <c r="H217" s="81">
        <f t="shared" ca="1" si="35"/>
        <v>475.51951947744078</v>
      </c>
      <c r="I217" s="81">
        <f t="shared" ca="1" si="35"/>
        <v>419.57604659774188</v>
      </c>
      <c r="J217" s="81">
        <f t="shared" ca="1" si="35"/>
        <v>375.41014695587432</v>
      </c>
      <c r="K217" s="81">
        <f t="shared" ca="1" si="35"/>
        <v>339.65679962674341</v>
      </c>
      <c r="L217" s="81">
        <f t="shared" ca="1" si="35"/>
        <v>310.121425746157</v>
      </c>
      <c r="M217" s="81">
        <f t="shared" ca="1" si="35"/>
        <v>285.31171168646443</v>
      </c>
      <c r="N217" s="81">
        <f t="shared" ca="1" si="35"/>
        <v>264.17751082080042</v>
      </c>
      <c r="O217" s="81">
        <f t="shared" ca="1" si="35"/>
        <v>245.95837214350385</v>
      </c>
      <c r="P217" s="81">
        <f t="shared" ca="1" si="35"/>
        <v>230.0900900697294</v>
      </c>
      <c r="Q217" s="81">
        <f t="shared" ca="1" si="35"/>
        <v>216.14523612610947</v>
      </c>
      <c r="R217" s="81">
        <f t="shared" ca="1" si="35"/>
        <v>203.79407977604606</v>
      </c>
      <c r="S217" s="81">
        <f t="shared" ca="1" si="35"/>
        <v>192.77818357193544</v>
      </c>
      <c r="T217" s="81">
        <f t="shared" ca="1" si="35"/>
        <v>182.89212287593878</v>
      </c>
    </row>
    <row r="218" spans="4:20" x14ac:dyDescent="0.25">
      <c r="D218" s="77">
        <f t="shared" si="24"/>
        <v>4</v>
      </c>
      <c r="E218" s="81">
        <f t="shared" ref="E218:T218" ca="1" si="36">IF(E194&gt;E169,E169,E194)</f>
        <v>558.89917693711982</v>
      </c>
      <c r="F218" s="81">
        <f t="shared" ca="1" si="36"/>
        <v>704.82142215035697</v>
      </c>
      <c r="G218" s="81">
        <f t="shared" ca="1" si="36"/>
        <v>596.38735720414809</v>
      </c>
      <c r="H218" s="81">
        <f t="shared" ca="1" si="36"/>
        <v>516.86904291026167</v>
      </c>
      <c r="I218" s="81">
        <f t="shared" ca="1" si="36"/>
        <v>456.0609202149368</v>
      </c>
      <c r="J218" s="81">
        <f t="shared" ca="1" si="36"/>
        <v>408.05450756073287</v>
      </c>
      <c r="K218" s="81">
        <f t="shared" ca="1" si="36"/>
        <v>369.19217350732976</v>
      </c>
      <c r="L218" s="81">
        <f t="shared" ca="1" si="36"/>
        <v>337.08850624582283</v>
      </c>
      <c r="M218" s="81">
        <f t="shared" ca="1" si="36"/>
        <v>310.121425746157</v>
      </c>
      <c r="N218" s="81">
        <f t="shared" ca="1" si="36"/>
        <v>287.14946828347877</v>
      </c>
      <c r="O218" s="81">
        <f t="shared" ca="1" si="36"/>
        <v>267.34605667772155</v>
      </c>
      <c r="P218" s="81">
        <f t="shared" ca="1" si="36"/>
        <v>250.0979239888363</v>
      </c>
      <c r="Q218" s="81">
        <f t="shared" ca="1" si="36"/>
        <v>234.94047405011895</v>
      </c>
      <c r="R218" s="81">
        <f t="shared" ca="1" si="36"/>
        <v>221.5153041043979</v>
      </c>
      <c r="S218" s="81">
        <f t="shared" ca="1" si="36"/>
        <v>209.54150388253854</v>
      </c>
      <c r="T218" s="81">
        <f t="shared" ca="1" si="36"/>
        <v>198.79578573471605</v>
      </c>
    </row>
    <row r="219" spans="4:20" x14ac:dyDescent="0.25">
      <c r="D219" s="77">
        <f t="shared" si="24"/>
        <v>4.32</v>
      </c>
      <c r="E219" s="81">
        <f t="shared" ref="E219:T219" ca="1" si="37">IF(E195&gt;E170,E170,E195)</f>
        <v>651.89999997945654</v>
      </c>
      <c r="F219" s="81">
        <f t="shared" ca="1" si="37"/>
        <v>761.20713592238565</v>
      </c>
      <c r="G219" s="81">
        <f t="shared" ca="1" si="37"/>
        <v>644.09834578048003</v>
      </c>
      <c r="H219" s="81">
        <f t="shared" ca="1" si="37"/>
        <v>558.21856634308278</v>
      </c>
      <c r="I219" s="81">
        <f t="shared" ca="1" si="37"/>
        <v>492.54579383213184</v>
      </c>
      <c r="J219" s="81">
        <f t="shared" ca="1" si="37"/>
        <v>440.69886816559159</v>
      </c>
      <c r="K219" s="81">
        <f t="shared" ca="1" si="37"/>
        <v>398.72754738791622</v>
      </c>
      <c r="L219" s="81">
        <f t="shared" ca="1" si="37"/>
        <v>364.05558674548877</v>
      </c>
      <c r="M219" s="81">
        <f t="shared" ca="1" si="37"/>
        <v>334.93113980584963</v>
      </c>
      <c r="N219" s="81">
        <f t="shared" ca="1" si="37"/>
        <v>310.12142574615706</v>
      </c>
      <c r="O219" s="81">
        <f t="shared" ca="1" si="37"/>
        <v>288.73374121193939</v>
      </c>
      <c r="P219" s="81">
        <f t="shared" ca="1" si="37"/>
        <v>270.1057579079432</v>
      </c>
      <c r="Q219" s="81">
        <f t="shared" ca="1" si="37"/>
        <v>253.73571197412852</v>
      </c>
      <c r="R219" s="81">
        <f t="shared" ca="1" si="37"/>
        <v>239.23652843274976</v>
      </c>
      <c r="S219" s="81">
        <f t="shared" ca="1" si="37"/>
        <v>226.30482419314166</v>
      </c>
      <c r="T219" s="81">
        <f t="shared" ca="1" si="37"/>
        <v>214.69944859349337</v>
      </c>
    </row>
    <row r="220" spans="4:20" x14ac:dyDescent="0.25">
      <c r="D220" s="77">
        <f t="shared" si="24"/>
        <v>4.6399999999999997</v>
      </c>
      <c r="E220" s="81">
        <f t="shared" ref="E220:T220" ca="1" si="38">IF(E196&gt;E171,E171,E196)</f>
        <v>752.05473248658825</v>
      </c>
      <c r="F220" s="81">
        <f t="shared" ca="1" si="38"/>
        <v>817.59284969441387</v>
      </c>
      <c r="G220" s="81">
        <f t="shared" ca="1" si="38"/>
        <v>691.80933435681175</v>
      </c>
      <c r="H220" s="81">
        <f t="shared" ca="1" si="38"/>
        <v>599.56808977590345</v>
      </c>
      <c r="I220" s="81">
        <f t="shared" ca="1" si="38"/>
        <v>529.03066744932664</v>
      </c>
      <c r="J220" s="81">
        <f t="shared" ca="1" si="38"/>
        <v>473.34322877045008</v>
      </c>
      <c r="K220" s="81">
        <f t="shared" ca="1" si="38"/>
        <v>428.26292126850251</v>
      </c>
      <c r="L220" s="81">
        <f t="shared" ca="1" si="38"/>
        <v>391.02266724515442</v>
      </c>
      <c r="M220" s="81">
        <f t="shared" ca="1" si="38"/>
        <v>359.74085386554202</v>
      </c>
      <c r="N220" s="81">
        <f t="shared" ca="1" si="38"/>
        <v>333.09338320883529</v>
      </c>
      <c r="O220" s="81">
        <f t="shared" ca="1" si="38"/>
        <v>310.121425746157</v>
      </c>
      <c r="P220" s="81">
        <f t="shared" ca="1" si="38"/>
        <v>290.11359182705002</v>
      </c>
      <c r="Q220" s="81">
        <f t="shared" ca="1" si="38"/>
        <v>272.53094989813792</v>
      </c>
      <c r="R220" s="81">
        <f t="shared" ca="1" si="38"/>
        <v>256.95775276110152</v>
      </c>
      <c r="S220" s="81">
        <f t="shared" ca="1" si="38"/>
        <v>243.06814450374463</v>
      </c>
      <c r="T220" s="81">
        <f t="shared" ca="1" si="38"/>
        <v>230.60311145227058</v>
      </c>
    </row>
    <row r="221" spans="4:20" x14ac:dyDescent="0.25">
      <c r="D221" s="77">
        <f t="shared" si="24"/>
        <v>4.96</v>
      </c>
      <c r="E221" s="81">
        <f t="shared" ref="E221:T221" ca="1" si="39">IF(E197&gt;E172,E172,E197)</f>
        <v>859.36337445851541</v>
      </c>
      <c r="F221" s="81">
        <f t="shared" ca="1" si="39"/>
        <v>873.97856346644267</v>
      </c>
      <c r="G221" s="81">
        <f t="shared" ca="1" si="39"/>
        <v>739.52032293314369</v>
      </c>
      <c r="H221" s="81">
        <f t="shared" ca="1" si="39"/>
        <v>640.91761320872456</v>
      </c>
      <c r="I221" s="81">
        <f t="shared" ca="1" si="39"/>
        <v>565.51554106652168</v>
      </c>
      <c r="J221" s="81">
        <f t="shared" ca="1" si="39"/>
        <v>505.98758937530886</v>
      </c>
      <c r="K221" s="81">
        <f t="shared" ca="1" si="39"/>
        <v>457.79829514908897</v>
      </c>
      <c r="L221" s="81">
        <f t="shared" ca="1" si="39"/>
        <v>417.98974774482031</v>
      </c>
      <c r="M221" s="81">
        <f t="shared" ca="1" si="39"/>
        <v>384.5505679252347</v>
      </c>
      <c r="N221" s="81">
        <f t="shared" ca="1" si="39"/>
        <v>356.06534067151364</v>
      </c>
      <c r="O221" s="81">
        <f t="shared" ca="1" si="39"/>
        <v>331.50911028037478</v>
      </c>
      <c r="P221" s="81">
        <f t="shared" ca="1" si="39"/>
        <v>310.121425746157</v>
      </c>
      <c r="Q221" s="81">
        <f t="shared" ca="1" si="39"/>
        <v>291.32618782214752</v>
      </c>
      <c r="R221" s="81">
        <f t="shared" ca="1" si="39"/>
        <v>274.67897708945338</v>
      </c>
      <c r="S221" s="81">
        <f t="shared" ca="1" si="39"/>
        <v>259.83146481434778</v>
      </c>
      <c r="T221" s="81">
        <f t="shared" ca="1" si="39"/>
        <v>246.50677431104793</v>
      </c>
    </row>
    <row r="222" spans="4:20" x14ac:dyDescent="0.25">
      <c r="D222" s="77">
        <f t="shared" si="24"/>
        <v>5.28</v>
      </c>
      <c r="E222" s="81">
        <f t="shared" ref="E222:T222" ca="1" si="40">IF(E198&gt;E173,E173,E198)</f>
        <v>973.82592589523756</v>
      </c>
      <c r="F222" s="81">
        <f t="shared" ca="1" si="40"/>
        <v>930.36427723847123</v>
      </c>
      <c r="G222" s="81">
        <f t="shared" ca="1" si="40"/>
        <v>787.23131150947563</v>
      </c>
      <c r="H222" s="81">
        <f t="shared" ca="1" si="40"/>
        <v>682.26713664154556</v>
      </c>
      <c r="I222" s="81">
        <f t="shared" ca="1" si="40"/>
        <v>602.0004146837166</v>
      </c>
      <c r="J222" s="81">
        <f t="shared" ca="1" si="40"/>
        <v>538.63194998016741</v>
      </c>
      <c r="K222" s="81">
        <f t="shared" ca="1" si="40"/>
        <v>487.33366902967532</v>
      </c>
      <c r="L222" s="81">
        <f t="shared" ca="1" si="40"/>
        <v>444.95682824448619</v>
      </c>
      <c r="M222" s="81">
        <f t="shared" ca="1" si="40"/>
        <v>409.36028198492727</v>
      </c>
      <c r="N222" s="81">
        <f t="shared" ca="1" si="40"/>
        <v>379.03729813419193</v>
      </c>
      <c r="O222" s="81">
        <f t="shared" ca="1" si="40"/>
        <v>352.89679481459251</v>
      </c>
      <c r="P222" s="81">
        <f t="shared" ca="1" si="40"/>
        <v>330.12925966526393</v>
      </c>
      <c r="Q222" s="81">
        <f t="shared" ca="1" si="40"/>
        <v>310.121425746157</v>
      </c>
      <c r="R222" s="81">
        <f t="shared" ca="1" si="40"/>
        <v>292.40020141780519</v>
      </c>
      <c r="S222" s="81">
        <f t="shared" ca="1" si="40"/>
        <v>276.59478512495087</v>
      </c>
      <c r="T222" s="81">
        <f t="shared" ca="1" si="40"/>
        <v>262.41043716982517</v>
      </c>
    </row>
    <row r="223" spans="4:20" x14ac:dyDescent="0.25">
      <c r="D223" s="77">
        <f t="shared" si="24"/>
        <v>5.6000000000000005</v>
      </c>
      <c r="E223" s="81">
        <f t="shared" ref="E223:T223" ca="1" si="41">IF(E199&gt;E174,E174,E199)</f>
        <v>1095.442386796755</v>
      </c>
      <c r="F223" s="81">
        <f t="shared" ca="1" si="41"/>
        <v>986.7499910104998</v>
      </c>
      <c r="G223" s="81">
        <f t="shared" ca="1" si="41"/>
        <v>834.94230008580746</v>
      </c>
      <c r="H223" s="81">
        <f t="shared" ca="1" si="41"/>
        <v>723.61666007436645</v>
      </c>
      <c r="I223" s="81">
        <f t="shared" ca="1" si="41"/>
        <v>638.48528830091152</v>
      </c>
      <c r="J223" s="81">
        <f t="shared" ca="1" si="41"/>
        <v>571.27631058502618</v>
      </c>
      <c r="K223" s="81">
        <f t="shared" ca="1" si="41"/>
        <v>516.86904291026167</v>
      </c>
      <c r="L223" s="81">
        <f t="shared" ca="1" si="41"/>
        <v>471.92390874415202</v>
      </c>
      <c r="M223" s="81">
        <f t="shared" ca="1" si="41"/>
        <v>434.16999604461984</v>
      </c>
      <c r="N223" s="81">
        <f t="shared" ca="1" si="41"/>
        <v>402.00925559687028</v>
      </c>
      <c r="O223" s="81">
        <f t="shared" ca="1" si="41"/>
        <v>374.28447934881024</v>
      </c>
      <c r="P223" s="81">
        <f t="shared" ca="1" si="41"/>
        <v>350.1370935843708</v>
      </c>
      <c r="Q223" s="81">
        <f t="shared" ca="1" si="41"/>
        <v>328.91666367016654</v>
      </c>
      <c r="R223" s="81">
        <f t="shared" ca="1" si="41"/>
        <v>310.12142574615706</v>
      </c>
      <c r="S223" s="81">
        <f t="shared" ca="1" si="41"/>
        <v>293.35810543555397</v>
      </c>
      <c r="T223" s="81">
        <f t="shared" ca="1" si="41"/>
        <v>278.31410002860247</v>
      </c>
    </row>
    <row r="224" spans="4:20" x14ac:dyDescent="0.25">
      <c r="D224" s="77">
        <f t="shared" si="24"/>
        <v>5.92</v>
      </c>
      <c r="E224" s="81">
        <f t="shared" ref="E224:T224" ca="1" si="42">IF(E200&gt;E175,E175,E200)</f>
        <v>1224.2127571630672</v>
      </c>
      <c r="F224" s="81">
        <f t="shared" ca="1" si="42"/>
        <v>1043.1357047825284</v>
      </c>
      <c r="G224" s="81">
        <f t="shared" ca="1" si="42"/>
        <v>882.65328866213929</v>
      </c>
      <c r="H224" s="81">
        <f t="shared" ca="1" si="42"/>
        <v>764.96618350718745</v>
      </c>
      <c r="I224" s="81">
        <f t="shared" ca="1" si="42"/>
        <v>674.97016191810644</v>
      </c>
      <c r="J224" s="81">
        <f t="shared" ca="1" si="42"/>
        <v>603.92067118988473</v>
      </c>
      <c r="K224" s="81">
        <f t="shared" ca="1" si="42"/>
        <v>546.40441679084813</v>
      </c>
      <c r="L224" s="81">
        <f t="shared" ca="1" si="42"/>
        <v>498.89098924381784</v>
      </c>
      <c r="M224" s="81">
        <f t="shared" ca="1" si="42"/>
        <v>458.9797101043124</v>
      </c>
      <c r="N224" s="81">
        <f t="shared" ca="1" si="42"/>
        <v>424.98121305954857</v>
      </c>
      <c r="O224" s="81">
        <f t="shared" ca="1" si="42"/>
        <v>395.67216388302796</v>
      </c>
      <c r="P224" s="81">
        <f t="shared" ca="1" si="42"/>
        <v>370.14492750347773</v>
      </c>
      <c r="Q224" s="81">
        <f t="shared" ca="1" si="42"/>
        <v>347.71190159417608</v>
      </c>
      <c r="R224" s="81">
        <f t="shared" ca="1" si="42"/>
        <v>327.84265007450892</v>
      </c>
      <c r="S224" s="81">
        <f t="shared" ca="1" si="42"/>
        <v>310.121425746157</v>
      </c>
      <c r="T224" s="81">
        <f t="shared" ca="1" si="42"/>
        <v>294.21776288737982</v>
      </c>
    </row>
    <row r="225" spans="1:20" x14ac:dyDescent="0.25">
      <c r="D225" s="77">
        <f t="shared" si="24"/>
        <v>6.24</v>
      </c>
      <c r="E225" s="81">
        <f t="shared" ref="E225:T225" ca="1" si="43">IF(E201&gt;E176,E176,E201)</f>
        <v>1343.8595115666803</v>
      </c>
      <c r="F225" s="81">
        <f t="shared" ca="1" si="43"/>
        <v>1099.5214185545567</v>
      </c>
      <c r="G225" s="81">
        <f t="shared" ca="1" si="43"/>
        <v>930.36427723847123</v>
      </c>
      <c r="H225" s="81">
        <f t="shared" ca="1" si="43"/>
        <v>806.31570694000834</v>
      </c>
      <c r="I225" s="81">
        <f t="shared" ca="1" si="43"/>
        <v>711.45503553530148</v>
      </c>
      <c r="J225" s="81">
        <f t="shared" ca="1" si="43"/>
        <v>636.56503179474339</v>
      </c>
      <c r="K225" s="81">
        <f t="shared" ca="1" si="43"/>
        <v>575.93979067143448</v>
      </c>
      <c r="L225" s="81">
        <f t="shared" ca="1" si="43"/>
        <v>525.85806974348372</v>
      </c>
      <c r="M225" s="81">
        <f t="shared" ca="1" si="43"/>
        <v>483.78942416400497</v>
      </c>
      <c r="N225" s="81">
        <f t="shared" ca="1" si="43"/>
        <v>447.95317052222691</v>
      </c>
      <c r="O225" s="81">
        <f t="shared" ca="1" si="43"/>
        <v>417.05984841724575</v>
      </c>
      <c r="P225" s="81">
        <f t="shared" ca="1" si="43"/>
        <v>390.15276142258466</v>
      </c>
      <c r="Q225" s="81">
        <f t="shared" ca="1" si="43"/>
        <v>366.50713951818557</v>
      </c>
      <c r="R225" s="81">
        <f t="shared" ca="1" si="43"/>
        <v>345.56387440286073</v>
      </c>
      <c r="S225" s="81">
        <f t="shared" ca="1" si="43"/>
        <v>326.88474605676015</v>
      </c>
      <c r="T225" s="81">
        <f t="shared" ca="1" si="43"/>
        <v>310.12142574615706</v>
      </c>
    </row>
    <row r="227" spans="1:20" x14ac:dyDescent="0.25">
      <c r="A227" s="45" t="s">
        <v>157</v>
      </c>
    </row>
    <row r="228" spans="1:20" x14ac:dyDescent="0.25">
      <c r="C228" s="82"/>
      <c r="E228" s="43" t="s">
        <v>117</v>
      </c>
      <c r="F228" s="51"/>
      <c r="G228" s="51"/>
      <c r="H228" s="51"/>
      <c r="I228" s="51"/>
      <c r="S228" s="74"/>
      <c r="T228" s="74"/>
    </row>
    <row r="229" spans="1:20" x14ac:dyDescent="0.25">
      <c r="D229" s="75"/>
      <c r="E229" s="76">
        <v>4.5</v>
      </c>
      <c r="F229" s="76">
        <v>5.5</v>
      </c>
      <c r="G229" s="76">
        <v>6.5</v>
      </c>
      <c r="H229" s="76">
        <v>7.5</v>
      </c>
      <c r="I229" s="76">
        <v>8.5</v>
      </c>
      <c r="J229" s="76">
        <v>9.5</v>
      </c>
      <c r="K229" s="76">
        <v>10.5</v>
      </c>
      <c r="L229" s="76">
        <v>11.5</v>
      </c>
      <c r="M229" s="76">
        <v>12.5</v>
      </c>
      <c r="N229" s="76">
        <v>13.5</v>
      </c>
      <c r="O229" s="76">
        <v>14.5</v>
      </c>
      <c r="P229" s="76">
        <v>15.5</v>
      </c>
      <c r="Q229" s="76">
        <v>16.5</v>
      </c>
      <c r="R229" s="76">
        <v>17.5</v>
      </c>
      <c r="S229" s="76">
        <v>18.5</v>
      </c>
      <c r="T229" s="76">
        <v>19.5</v>
      </c>
    </row>
    <row r="230" spans="1:20" x14ac:dyDescent="0.25">
      <c r="C230" s="43" t="s">
        <v>118</v>
      </c>
      <c r="D230" s="77">
        <f>D127</f>
        <v>0.25</v>
      </c>
      <c r="E230" s="81">
        <f ca="1">IF(E206&lt;$G$14,E206,$G$14)</f>
        <v>0.89423868309939181</v>
      </c>
      <c r="F230" s="81">
        <f t="shared" ref="F230:T230" ca="1" si="44">IF(F206&lt;$G$14,F206,$G$14)</f>
        <v>1.6326909289510152</v>
      </c>
      <c r="G230" s="81">
        <f t="shared" ca="1" si="44"/>
        <v>2.6949826979003615</v>
      </c>
      <c r="H230" s="81">
        <f t="shared" ca="1" si="44"/>
        <v>4.1399939032379232</v>
      </c>
      <c r="I230" s="81">
        <f t="shared" ca="1" si="44"/>
        <v>6.026604458254198</v>
      </c>
      <c r="J230" s="81">
        <f t="shared" ca="1" si="44"/>
        <v>8.4136942762396796</v>
      </c>
      <c r="K230" s="81">
        <f t="shared" ca="1" si="44"/>
        <v>11.360143270484865</v>
      </c>
      <c r="L230" s="81">
        <f t="shared" ca="1" si="44"/>
        <v>13.483540249832915</v>
      </c>
      <c r="M230" s="81">
        <f t="shared" ca="1" si="44"/>
        <v>12.404857029846282</v>
      </c>
      <c r="N230" s="81">
        <f t="shared" ca="1" si="44"/>
        <v>11.485978731339152</v>
      </c>
      <c r="O230" s="81">
        <f t="shared" ca="1" si="44"/>
        <v>10.693842267108865</v>
      </c>
      <c r="P230" s="81">
        <f t="shared" ca="1" si="44"/>
        <v>10.003916959553454</v>
      </c>
      <c r="Q230" s="81">
        <f t="shared" ca="1" si="44"/>
        <v>9.3976189620047581</v>
      </c>
      <c r="R230" s="81">
        <f t="shared" ca="1" si="44"/>
        <v>8.860612164175917</v>
      </c>
      <c r="S230" s="81">
        <f t="shared" ca="1" si="44"/>
        <v>8.3816601553015424</v>
      </c>
      <c r="T230" s="81">
        <f t="shared" ca="1" si="44"/>
        <v>7.9518314293886432</v>
      </c>
    </row>
    <row r="231" spans="1:20" x14ac:dyDescent="0.25">
      <c r="D231" s="77">
        <f t="shared" ref="D231:D249" si="45">D128</f>
        <v>0.75</v>
      </c>
      <c r="E231" s="81">
        <f t="shared" ref="E231:T231" ca="1" si="46">IF(E207&lt;$G$14,E207,$G$14)</f>
        <v>8.0481481478945245</v>
      </c>
      <c r="F231" s="81">
        <f t="shared" ca="1" si="46"/>
        <v>14.694218360559136</v>
      </c>
      <c r="G231" s="81">
        <f t="shared" ca="1" si="46"/>
        <v>24.254844281103249</v>
      </c>
      <c r="H231" s="81">
        <f t="shared" ca="1" si="46"/>
        <v>37.259945129141308</v>
      </c>
      <c r="I231" s="81">
        <f t="shared" ca="1" si="46"/>
        <v>54.239440124287782</v>
      </c>
      <c r="J231" s="81">
        <f t="shared" ca="1" si="46"/>
        <v>48.966540907287943</v>
      </c>
      <c r="K231" s="81">
        <f t="shared" ca="1" si="46"/>
        <v>44.303060820879566</v>
      </c>
      <c r="L231" s="81">
        <f t="shared" ca="1" si="46"/>
        <v>40.450620749498732</v>
      </c>
      <c r="M231" s="81">
        <f t="shared" ca="1" si="46"/>
        <v>37.214571089538836</v>
      </c>
      <c r="N231" s="81">
        <f t="shared" ca="1" si="46"/>
        <v>34.457936194017442</v>
      </c>
      <c r="O231" s="81">
        <f t="shared" ca="1" si="46"/>
        <v>32.081526801326582</v>
      </c>
      <c r="P231" s="81">
        <f t="shared" ca="1" si="46"/>
        <v>30.011750878660351</v>
      </c>
      <c r="Q231" s="81">
        <f t="shared" ca="1" si="46"/>
        <v>28.192856886014269</v>
      </c>
      <c r="R231" s="81">
        <f t="shared" ca="1" si="46"/>
        <v>26.581836492527742</v>
      </c>
      <c r="S231" s="81">
        <f t="shared" ca="1" si="46"/>
        <v>25.14498046590462</v>
      </c>
      <c r="T231" s="81">
        <f t="shared" ca="1" si="46"/>
        <v>23.855494288165922</v>
      </c>
    </row>
    <row r="232" spans="1:20" x14ac:dyDescent="0.25">
      <c r="D232" s="77">
        <f t="shared" si="45"/>
        <v>1.25</v>
      </c>
      <c r="E232" s="81">
        <f t="shared" ref="E232:T232" ca="1" si="47">IF(E208&lt;$G$14,E208,$G$14)</f>
        <v>22.355967077484799</v>
      </c>
      <c r="F232" s="81">
        <f t="shared" ca="1" si="47"/>
        <v>40.817273223775388</v>
      </c>
      <c r="G232" s="81">
        <f t="shared" ca="1" si="47"/>
        <v>67.374567447509051</v>
      </c>
      <c r="H232" s="81">
        <f t="shared" ca="1" si="47"/>
        <v>103.37380858205236</v>
      </c>
      <c r="I232" s="81">
        <f t="shared" ca="1" si="47"/>
        <v>91.212184042987374</v>
      </c>
      <c r="J232" s="81">
        <f t="shared" ca="1" si="47"/>
        <v>81.610901512146597</v>
      </c>
      <c r="K232" s="81">
        <f t="shared" ca="1" si="47"/>
        <v>73.838434701465957</v>
      </c>
      <c r="L232" s="81">
        <f t="shared" ca="1" si="47"/>
        <v>67.41770124916458</v>
      </c>
      <c r="M232" s="81">
        <f t="shared" ca="1" si="47"/>
        <v>62.024285149231403</v>
      </c>
      <c r="N232" s="81">
        <f t="shared" ca="1" si="47"/>
        <v>57.429893656695747</v>
      </c>
      <c r="O232" s="81">
        <f t="shared" ca="1" si="47"/>
        <v>53.469211335544315</v>
      </c>
      <c r="P232" s="81">
        <f t="shared" ca="1" si="47"/>
        <v>50.019584797767259</v>
      </c>
      <c r="Q232" s="81">
        <f t="shared" ca="1" si="47"/>
        <v>46.988094810023796</v>
      </c>
      <c r="R232" s="81">
        <f t="shared" ca="1" si="47"/>
        <v>44.30306082087958</v>
      </c>
      <c r="S232" s="81">
        <f t="shared" ca="1" si="47"/>
        <v>41.908300776507708</v>
      </c>
      <c r="T232" s="81">
        <f t="shared" ca="1" si="47"/>
        <v>39.75915714694321</v>
      </c>
    </row>
    <row r="233" spans="1:20" x14ac:dyDescent="0.25">
      <c r="D233" s="77">
        <f t="shared" si="45"/>
        <v>1.75</v>
      </c>
      <c r="E233" s="81">
        <f t="shared" ref="E233:T233" ca="1" si="48">IF(E209&lt;$G$14,E209,$G$14)</f>
        <v>43.817695471870195</v>
      </c>
      <c r="F233" s="81">
        <f t="shared" ca="1" si="48"/>
        <v>80.001855518599754</v>
      </c>
      <c r="G233" s="81">
        <f t="shared" ca="1" si="48"/>
        <v>132.0541521971177</v>
      </c>
      <c r="H233" s="81">
        <f t="shared" ca="1" si="48"/>
        <v>144.72333201487331</v>
      </c>
      <c r="I233" s="81">
        <f t="shared" ca="1" si="48"/>
        <v>127.69705766018232</v>
      </c>
      <c r="J233" s="81">
        <f t="shared" ca="1" si="48"/>
        <v>114.25526211700523</v>
      </c>
      <c r="K233" s="81">
        <f t="shared" ca="1" si="48"/>
        <v>103.37380858205236</v>
      </c>
      <c r="L233" s="81">
        <f t="shared" ca="1" si="48"/>
        <v>94.384781748830406</v>
      </c>
      <c r="M233" s="81">
        <f t="shared" ca="1" si="48"/>
        <v>86.83399920892397</v>
      </c>
      <c r="N233" s="81">
        <f t="shared" ca="1" si="48"/>
        <v>80.401851119374058</v>
      </c>
      <c r="O233" s="81">
        <f t="shared" ca="1" si="48"/>
        <v>74.856895869762056</v>
      </c>
      <c r="P233" s="81">
        <f t="shared" ca="1" si="48"/>
        <v>70.027418716874166</v>
      </c>
      <c r="Q233" s="81">
        <f t="shared" ca="1" si="48"/>
        <v>65.783332734033323</v>
      </c>
      <c r="R233" s="81">
        <f t="shared" ca="1" si="48"/>
        <v>62.024285149231417</v>
      </c>
      <c r="S233" s="81">
        <f t="shared" ca="1" si="48"/>
        <v>58.671621087110793</v>
      </c>
      <c r="T233" s="81">
        <f t="shared" ca="1" si="48"/>
        <v>55.662820005720498</v>
      </c>
    </row>
    <row r="234" spans="1:20" x14ac:dyDescent="0.25">
      <c r="D234" s="77">
        <f t="shared" si="45"/>
        <v>2.25</v>
      </c>
      <c r="E234" s="81">
        <f t="shared" ref="E234:T234" ca="1" si="49">IF(E210&lt;$G$14,E210,$G$14)</f>
        <v>72.433333331050733</v>
      </c>
      <c r="F234" s="81">
        <f t="shared" ca="1" si="49"/>
        <v>132.24796524503222</v>
      </c>
      <c r="G234" s="81">
        <f t="shared" ca="1" si="49"/>
        <v>214.69944859349332</v>
      </c>
      <c r="H234" s="81">
        <f t="shared" ca="1" si="49"/>
        <v>186.07285544769422</v>
      </c>
      <c r="I234" s="81">
        <f t="shared" ca="1" si="49"/>
        <v>164.18193127737723</v>
      </c>
      <c r="J234" s="81">
        <f t="shared" ca="1" si="49"/>
        <v>146.89962272186386</v>
      </c>
      <c r="K234" s="81">
        <f t="shared" ca="1" si="49"/>
        <v>132.90918246263871</v>
      </c>
      <c r="L234" s="81">
        <f t="shared" ca="1" si="49"/>
        <v>121.35186224849623</v>
      </c>
      <c r="M234" s="81">
        <f t="shared" ca="1" si="49"/>
        <v>111.64371326861652</v>
      </c>
      <c r="N234" s="81">
        <f t="shared" ca="1" si="49"/>
        <v>103.37380858205235</v>
      </c>
      <c r="O234" s="81">
        <f t="shared" ca="1" si="49"/>
        <v>96.244580403979768</v>
      </c>
      <c r="P234" s="81">
        <f t="shared" ca="1" si="49"/>
        <v>90.035252635981053</v>
      </c>
      <c r="Q234" s="81">
        <f t="shared" ca="1" si="49"/>
        <v>84.578570658042821</v>
      </c>
      <c r="R234" s="81">
        <f t="shared" ca="1" si="49"/>
        <v>79.745509477583241</v>
      </c>
      <c r="S234" s="81">
        <f t="shared" ca="1" si="49"/>
        <v>75.434941397713857</v>
      </c>
      <c r="T234" s="81">
        <f t="shared" ca="1" si="49"/>
        <v>71.566482864497786</v>
      </c>
    </row>
    <row r="235" spans="1:20" x14ac:dyDescent="0.25">
      <c r="D235" s="77">
        <f t="shared" si="45"/>
        <v>2.75</v>
      </c>
      <c r="E235" s="81">
        <f t="shared" ref="E235:T235" ca="1" si="50">IF(E211&lt;$G$14,E211,$G$14)</f>
        <v>108.20288065502638</v>
      </c>
      <c r="F235" s="81">
        <f t="shared" ca="1" si="50"/>
        <v>197.55560240307281</v>
      </c>
      <c r="G235" s="81">
        <f t="shared" ca="1" si="50"/>
        <v>252.5</v>
      </c>
      <c r="H235" s="81">
        <f t="shared" ca="1" si="50"/>
        <v>227.42237888051517</v>
      </c>
      <c r="I235" s="81">
        <f t="shared" ca="1" si="50"/>
        <v>200.66680489457221</v>
      </c>
      <c r="J235" s="81">
        <f t="shared" ca="1" si="50"/>
        <v>179.5439833267225</v>
      </c>
      <c r="K235" s="81">
        <f t="shared" ca="1" si="50"/>
        <v>162.44455634322512</v>
      </c>
      <c r="L235" s="81">
        <f t="shared" ca="1" si="50"/>
        <v>148.31894274816204</v>
      </c>
      <c r="M235" s="81">
        <f t="shared" ca="1" si="50"/>
        <v>136.45342732830909</v>
      </c>
      <c r="N235" s="81">
        <f t="shared" ca="1" si="50"/>
        <v>126.34576604473065</v>
      </c>
      <c r="O235" s="81">
        <f t="shared" ca="1" si="50"/>
        <v>117.63226493819751</v>
      </c>
      <c r="P235" s="81">
        <f t="shared" ca="1" si="50"/>
        <v>110.04308655508797</v>
      </c>
      <c r="Q235" s="81">
        <f t="shared" ca="1" si="50"/>
        <v>103.37380858205235</v>
      </c>
      <c r="R235" s="81">
        <f t="shared" ca="1" si="50"/>
        <v>97.466733805935078</v>
      </c>
      <c r="S235" s="81">
        <f t="shared" ca="1" si="50"/>
        <v>92.198261708316963</v>
      </c>
      <c r="T235" s="81">
        <f t="shared" ca="1" si="50"/>
        <v>87.470145723275067</v>
      </c>
    </row>
    <row r="236" spans="1:20" x14ac:dyDescent="0.25">
      <c r="D236" s="77">
        <f t="shared" si="45"/>
        <v>3.25</v>
      </c>
      <c r="E236" s="81">
        <f t="shared" ref="E236:T236" ca="1" si="51">IF(E212&lt;$G$14,E212,$G$14)</f>
        <v>151.12633744379721</v>
      </c>
      <c r="F236" s="81">
        <f t="shared" ca="1" si="51"/>
        <v>252.5</v>
      </c>
      <c r="G236" s="81">
        <f t="shared" ca="1" si="51"/>
        <v>252.5</v>
      </c>
      <c r="H236" s="81">
        <f t="shared" ca="1" si="51"/>
        <v>252.5</v>
      </c>
      <c r="I236" s="81">
        <f t="shared" ca="1" si="51"/>
        <v>237.15167851176716</v>
      </c>
      <c r="J236" s="81">
        <f t="shared" ca="1" si="51"/>
        <v>212.18834393158113</v>
      </c>
      <c r="K236" s="81">
        <f t="shared" ca="1" si="51"/>
        <v>191.97993022381149</v>
      </c>
      <c r="L236" s="81">
        <f t="shared" ca="1" si="51"/>
        <v>175.2860232478279</v>
      </c>
      <c r="M236" s="81">
        <f t="shared" ca="1" si="51"/>
        <v>161.26314138800166</v>
      </c>
      <c r="N236" s="81">
        <f t="shared" ca="1" si="51"/>
        <v>149.31772350740894</v>
      </c>
      <c r="O236" s="81">
        <f t="shared" ca="1" si="51"/>
        <v>139.01994947241522</v>
      </c>
      <c r="P236" s="81">
        <f t="shared" ca="1" si="51"/>
        <v>130.05092047419487</v>
      </c>
      <c r="Q236" s="81">
        <f t="shared" ca="1" si="51"/>
        <v>122.16904650606187</v>
      </c>
      <c r="R236" s="81">
        <f t="shared" ca="1" si="51"/>
        <v>115.1879581342869</v>
      </c>
      <c r="S236" s="81">
        <f t="shared" ca="1" si="51"/>
        <v>108.96158201892004</v>
      </c>
      <c r="T236" s="81">
        <f t="shared" ca="1" si="51"/>
        <v>103.37380858205236</v>
      </c>
    </row>
    <row r="237" spans="1:20" x14ac:dyDescent="0.25">
      <c r="D237" s="77">
        <f t="shared" si="45"/>
        <v>3.75</v>
      </c>
      <c r="E237" s="81">
        <f t="shared" ref="E237:T237" ca="1" si="52">IF(E213&lt;$G$14,E213,$G$14)</f>
        <v>201.20370369736312</v>
      </c>
      <c r="F237" s="81">
        <f t="shared" ca="1" si="52"/>
        <v>252.5</v>
      </c>
      <c r="G237" s="81">
        <f t="shared" ca="1" si="52"/>
        <v>252.5</v>
      </c>
      <c r="H237" s="81">
        <f t="shared" ca="1" si="52"/>
        <v>252.5</v>
      </c>
      <c r="I237" s="81">
        <f t="shared" ca="1" si="52"/>
        <v>252.5</v>
      </c>
      <c r="J237" s="81">
        <f t="shared" ca="1" si="52"/>
        <v>244.83270453643973</v>
      </c>
      <c r="K237" s="81">
        <f t="shared" ca="1" si="52"/>
        <v>221.51530410439787</v>
      </c>
      <c r="L237" s="81">
        <f t="shared" ca="1" si="52"/>
        <v>202.2531037474937</v>
      </c>
      <c r="M237" s="81">
        <f t="shared" ca="1" si="52"/>
        <v>186.0728554476942</v>
      </c>
      <c r="N237" s="81">
        <f t="shared" ca="1" si="52"/>
        <v>172.28968097008723</v>
      </c>
      <c r="O237" s="81">
        <f t="shared" ca="1" si="52"/>
        <v>160.40763400663292</v>
      </c>
      <c r="P237" s="81">
        <f t="shared" ca="1" si="52"/>
        <v>150.05875439330177</v>
      </c>
      <c r="Q237" s="81">
        <f t="shared" ca="1" si="52"/>
        <v>140.96428443007136</v>
      </c>
      <c r="R237" s="81">
        <f t="shared" ca="1" si="52"/>
        <v>132.90918246263874</v>
      </c>
      <c r="S237" s="81">
        <f t="shared" ca="1" si="52"/>
        <v>125.7249023295231</v>
      </c>
      <c r="T237" s="81">
        <f t="shared" ca="1" si="52"/>
        <v>119.27747144082963</v>
      </c>
    </row>
    <row r="238" spans="1:20" x14ac:dyDescent="0.25">
      <c r="D238" s="77">
        <f t="shared" si="45"/>
        <v>4.25</v>
      </c>
      <c r="E238" s="81">
        <f t="shared" ref="E238:T238" ca="1" si="53">IF(E214&lt;$G$14,E214,$G$14)</f>
        <v>252.5</v>
      </c>
      <c r="F238" s="81">
        <f t="shared" ca="1" si="53"/>
        <v>252.5</v>
      </c>
      <c r="G238" s="81">
        <f t="shared" ca="1" si="53"/>
        <v>252.5</v>
      </c>
      <c r="H238" s="81">
        <f t="shared" ca="1" si="53"/>
        <v>252.5</v>
      </c>
      <c r="I238" s="81">
        <f t="shared" ca="1" si="53"/>
        <v>252.5</v>
      </c>
      <c r="J238" s="81">
        <f t="shared" ca="1" si="53"/>
        <v>252.5</v>
      </c>
      <c r="K238" s="81">
        <f t="shared" ca="1" si="53"/>
        <v>251.05067798498428</v>
      </c>
      <c r="L238" s="81">
        <f t="shared" ca="1" si="53"/>
        <v>229.22018424715958</v>
      </c>
      <c r="M238" s="81">
        <f t="shared" ca="1" si="53"/>
        <v>210.88256950738679</v>
      </c>
      <c r="N238" s="81">
        <f t="shared" ca="1" si="53"/>
        <v>195.26163843276555</v>
      </c>
      <c r="O238" s="81">
        <f t="shared" ca="1" si="53"/>
        <v>181.79531854085067</v>
      </c>
      <c r="P238" s="81">
        <f t="shared" ca="1" si="53"/>
        <v>170.06658831240867</v>
      </c>
      <c r="Q238" s="81">
        <f t="shared" ca="1" si="53"/>
        <v>159.75952235408093</v>
      </c>
      <c r="R238" s="81">
        <f t="shared" ca="1" si="53"/>
        <v>150.63040679099058</v>
      </c>
      <c r="S238" s="81">
        <f t="shared" ca="1" si="53"/>
        <v>142.48822264012622</v>
      </c>
      <c r="T238" s="81">
        <f t="shared" ca="1" si="53"/>
        <v>135.18113429960692</v>
      </c>
    </row>
    <row r="239" spans="1:20" x14ac:dyDescent="0.25">
      <c r="D239" s="77">
        <f t="shared" si="45"/>
        <v>4.75</v>
      </c>
      <c r="E239" s="81">
        <f t="shared" ref="E239:T239" ca="1" si="54">IF(E215&lt;$G$14,E215,$G$14)</f>
        <v>252.5</v>
      </c>
      <c r="F239" s="81">
        <f t="shared" ca="1" si="54"/>
        <v>252.5</v>
      </c>
      <c r="G239" s="81">
        <f t="shared" ca="1" si="54"/>
        <v>252.5</v>
      </c>
      <c r="H239" s="81">
        <f t="shared" ca="1" si="54"/>
        <v>252.5</v>
      </c>
      <c r="I239" s="81">
        <f t="shared" ca="1" si="54"/>
        <v>252.5</v>
      </c>
      <c r="J239" s="81">
        <f t="shared" ca="1" si="54"/>
        <v>252.5</v>
      </c>
      <c r="K239" s="81">
        <f t="shared" ca="1" si="54"/>
        <v>252.5</v>
      </c>
      <c r="L239" s="81">
        <f t="shared" ca="1" si="54"/>
        <v>252.5</v>
      </c>
      <c r="M239" s="81">
        <f t="shared" ca="1" si="54"/>
        <v>235.6922835670793</v>
      </c>
      <c r="N239" s="81">
        <f t="shared" ca="1" si="54"/>
        <v>218.23359589544384</v>
      </c>
      <c r="O239" s="81">
        <f t="shared" ca="1" si="54"/>
        <v>203.1830030750684</v>
      </c>
      <c r="P239" s="81">
        <f t="shared" ca="1" si="54"/>
        <v>190.07442223151557</v>
      </c>
      <c r="Q239" s="81">
        <f t="shared" ca="1" si="54"/>
        <v>178.55476027809038</v>
      </c>
      <c r="R239" s="81">
        <f t="shared" ca="1" si="54"/>
        <v>168.35163111934241</v>
      </c>
      <c r="S239" s="81">
        <f t="shared" ca="1" si="54"/>
        <v>159.25154295072929</v>
      </c>
      <c r="T239" s="81">
        <f t="shared" ca="1" si="54"/>
        <v>151.08479715838419</v>
      </c>
    </row>
    <row r="240" spans="1:20" x14ac:dyDescent="0.25">
      <c r="D240" s="77">
        <f t="shared" si="45"/>
        <v>5.25</v>
      </c>
      <c r="E240" s="81">
        <f t="shared" ref="E240:T240" ca="1" si="55">IF(E216&lt;$G$14,E216,$G$14)</f>
        <v>252.5</v>
      </c>
      <c r="F240" s="81">
        <f t="shared" ca="1" si="55"/>
        <v>252.5</v>
      </c>
      <c r="G240" s="81">
        <f t="shared" ca="1" si="55"/>
        <v>252.5</v>
      </c>
      <c r="H240" s="81">
        <f t="shared" ca="1" si="55"/>
        <v>252.5</v>
      </c>
      <c r="I240" s="81">
        <f t="shared" ca="1" si="55"/>
        <v>252.5</v>
      </c>
      <c r="J240" s="81">
        <f t="shared" ca="1" si="55"/>
        <v>252.5</v>
      </c>
      <c r="K240" s="81">
        <f t="shared" ca="1" si="55"/>
        <v>252.5</v>
      </c>
      <c r="L240" s="81">
        <f t="shared" ca="1" si="55"/>
        <v>252.5</v>
      </c>
      <c r="M240" s="81">
        <f t="shared" ca="1" si="55"/>
        <v>252.5</v>
      </c>
      <c r="N240" s="81">
        <f t="shared" ca="1" si="55"/>
        <v>241.20555335812216</v>
      </c>
      <c r="O240" s="81">
        <f t="shared" ca="1" si="55"/>
        <v>224.57068760928613</v>
      </c>
      <c r="P240" s="81">
        <f t="shared" ca="1" si="55"/>
        <v>210.08225615062247</v>
      </c>
      <c r="Q240" s="81">
        <f t="shared" ca="1" si="55"/>
        <v>197.34999820209993</v>
      </c>
      <c r="R240" s="81">
        <f t="shared" ca="1" si="55"/>
        <v>186.07285544769422</v>
      </c>
      <c r="S240" s="81">
        <f t="shared" ca="1" si="55"/>
        <v>176.01486326133235</v>
      </c>
      <c r="T240" s="81">
        <f t="shared" ca="1" si="55"/>
        <v>166.98846001716149</v>
      </c>
    </row>
    <row r="241" spans="1:20" x14ac:dyDescent="0.25">
      <c r="D241" s="77">
        <f t="shared" si="45"/>
        <v>5.75</v>
      </c>
      <c r="E241" s="81">
        <f t="shared" ref="E241:T241" ca="1" si="56">IF(E217&lt;$G$14,E217,$G$14)</f>
        <v>252.5</v>
      </c>
      <c r="F241" s="81">
        <f t="shared" ca="1" si="56"/>
        <v>252.5</v>
      </c>
      <c r="G241" s="81">
        <f t="shared" ca="1" si="56"/>
        <v>252.5</v>
      </c>
      <c r="H241" s="81">
        <f t="shared" ca="1" si="56"/>
        <v>252.5</v>
      </c>
      <c r="I241" s="81">
        <f t="shared" ca="1" si="56"/>
        <v>252.5</v>
      </c>
      <c r="J241" s="81">
        <f t="shared" ca="1" si="56"/>
        <v>252.5</v>
      </c>
      <c r="K241" s="81">
        <f t="shared" ca="1" si="56"/>
        <v>252.5</v>
      </c>
      <c r="L241" s="81">
        <f t="shared" ca="1" si="56"/>
        <v>252.5</v>
      </c>
      <c r="M241" s="81">
        <f t="shared" ca="1" si="56"/>
        <v>252.5</v>
      </c>
      <c r="N241" s="81">
        <f t="shared" ca="1" si="56"/>
        <v>252.5</v>
      </c>
      <c r="O241" s="81">
        <f t="shared" ca="1" si="56"/>
        <v>245.95837214350385</v>
      </c>
      <c r="P241" s="81">
        <f t="shared" ca="1" si="56"/>
        <v>230.0900900697294</v>
      </c>
      <c r="Q241" s="81">
        <f t="shared" ca="1" si="56"/>
        <v>216.14523612610947</v>
      </c>
      <c r="R241" s="81">
        <f t="shared" ca="1" si="56"/>
        <v>203.79407977604606</v>
      </c>
      <c r="S241" s="81">
        <f t="shared" ca="1" si="56"/>
        <v>192.77818357193544</v>
      </c>
      <c r="T241" s="81">
        <f t="shared" ca="1" si="56"/>
        <v>182.89212287593878</v>
      </c>
    </row>
    <row r="242" spans="1:20" x14ac:dyDescent="0.25">
      <c r="D242" s="77">
        <f t="shared" si="45"/>
        <v>6.25</v>
      </c>
      <c r="E242" s="81">
        <f t="shared" ref="E242:T242" ca="1" si="57">IF(E218&lt;$G$14,E218,$G$14)</f>
        <v>252.5</v>
      </c>
      <c r="F242" s="81">
        <f t="shared" ca="1" si="57"/>
        <v>252.5</v>
      </c>
      <c r="G242" s="81">
        <f t="shared" ca="1" si="57"/>
        <v>252.5</v>
      </c>
      <c r="H242" s="81">
        <f t="shared" ca="1" si="57"/>
        <v>252.5</v>
      </c>
      <c r="I242" s="81">
        <f t="shared" ca="1" si="57"/>
        <v>252.5</v>
      </c>
      <c r="J242" s="81">
        <f t="shared" ca="1" si="57"/>
        <v>252.5</v>
      </c>
      <c r="K242" s="81">
        <f t="shared" ca="1" si="57"/>
        <v>252.5</v>
      </c>
      <c r="L242" s="81">
        <f t="shared" ca="1" si="57"/>
        <v>252.5</v>
      </c>
      <c r="M242" s="81">
        <f t="shared" ca="1" si="57"/>
        <v>252.5</v>
      </c>
      <c r="N242" s="81">
        <f t="shared" ca="1" si="57"/>
        <v>252.5</v>
      </c>
      <c r="O242" s="81">
        <f t="shared" ca="1" si="57"/>
        <v>252.5</v>
      </c>
      <c r="P242" s="81">
        <f t="shared" ca="1" si="57"/>
        <v>250.0979239888363</v>
      </c>
      <c r="Q242" s="81">
        <f t="shared" ca="1" si="57"/>
        <v>234.94047405011895</v>
      </c>
      <c r="R242" s="81">
        <f t="shared" ca="1" si="57"/>
        <v>221.5153041043979</v>
      </c>
      <c r="S242" s="81">
        <f t="shared" ca="1" si="57"/>
        <v>209.54150388253854</v>
      </c>
      <c r="T242" s="81">
        <f t="shared" ca="1" si="57"/>
        <v>198.79578573471605</v>
      </c>
    </row>
    <row r="243" spans="1:20" x14ac:dyDescent="0.25">
      <c r="D243" s="77">
        <f t="shared" si="45"/>
        <v>6.75</v>
      </c>
      <c r="E243" s="81">
        <f t="shared" ref="E243:T243" ca="1" si="58">IF(E219&lt;$G$14,E219,$G$14)</f>
        <v>252.5</v>
      </c>
      <c r="F243" s="81">
        <f t="shared" ca="1" si="58"/>
        <v>252.5</v>
      </c>
      <c r="G243" s="81">
        <f t="shared" ca="1" si="58"/>
        <v>252.5</v>
      </c>
      <c r="H243" s="81">
        <f t="shared" ca="1" si="58"/>
        <v>252.5</v>
      </c>
      <c r="I243" s="81">
        <f t="shared" ca="1" si="58"/>
        <v>252.5</v>
      </c>
      <c r="J243" s="81">
        <f t="shared" ca="1" si="58"/>
        <v>252.5</v>
      </c>
      <c r="K243" s="81">
        <f t="shared" ca="1" si="58"/>
        <v>252.5</v>
      </c>
      <c r="L243" s="81">
        <f t="shared" ca="1" si="58"/>
        <v>252.5</v>
      </c>
      <c r="M243" s="81">
        <f t="shared" ca="1" si="58"/>
        <v>252.5</v>
      </c>
      <c r="N243" s="81">
        <f t="shared" ca="1" si="58"/>
        <v>252.5</v>
      </c>
      <c r="O243" s="81">
        <f t="shared" ca="1" si="58"/>
        <v>252.5</v>
      </c>
      <c r="P243" s="81">
        <f t="shared" ca="1" si="58"/>
        <v>252.5</v>
      </c>
      <c r="Q243" s="81">
        <f t="shared" ca="1" si="58"/>
        <v>252.5</v>
      </c>
      <c r="R243" s="81">
        <f t="shared" ca="1" si="58"/>
        <v>239.23652843274976</v>
      </c>
      <c r="S243" s="81">
        <f t="shared" ca="1" si="58"/>
        <v>226.30482419314166</v>
      </c>
      <c r="T243" s="81">
        <f t="shared" ca="1" si="58"/>
        <v>214.69944859349337</v>
      </c>
    </row>
    <row r="244" spans="1:20" x14ac:dyDescent="0.25">
      <c r="D244" s="77">
        <f t="shared" si="45"/>
        <v>7.25</v>
      </c>
      <c r="E244" s="81">
        <f t="shared" ref="E244:T244" ca="1" si="59">IF(E220&lt;$G$14,E220,$G$14)</f>
        <v>252.5</v>
      </c>
      <c r="F244" s="81">
        <f t="shared" ca="1" si="59"/>
        <v>252.5</v>
      </c>
      <c r="G244" s="81">
        <f t="shared" ca="1" si="59"/>
        <v>252.5</v>
      </c>
      <c r="H244" s="81">
        <f t="shared" ca="1" si="59"/>
        <v>252.5</v>
      </c>
      <c r="I244" s="81">
        <f t="shared" ca="1" si="59"/>
        <v>252.5</v>
      </c>
      <c r="J244" s="81">
        <f t="shared" ca="1" si="59"/>
        <v>252.5</v>
      </c>
      <c r="K244" s="81">
        <f t="shared" ca="1" si="59"/>
        <v>252.5</v>
      </c>
      <c r="L244" s="81">
        <f t="shared" ca="1" si="59"/>
        <v>252.5</v>
      </c>
      <c r="M244" s="81">
        <f t="shared" ca="1" si="59"/>
        <v>252.5</v>
      </c>
      <c r="N244" s="81">
        <f t="shared" ca="1" si="59"/>
        <v>252.5</v>
      </c>
      <c r="O244" s="81">
        <f t="shared" ca="1" si="59"/>
        <v>252.5</v>
      </c>
      <c r="P244" s="81">
        <f t="shared" ca="1" si="59"/>
        <v>252.5</v>
      </c>
      <c r="Q244" s="81">
        <f t="shared" ca="1" si="59"/>
        <v>252.5</v>
      </c>
      <c r="R244" s="81">
        <f t="shared" ca="1" si="59"/>
        <v>252.5</v>
      </c>
      <c r="S244" s="81">
        <f t="shared" ca="1" si="59"/>
        <v>243.06814450374463</v>
      </c>
      <c r="T244" s="81">
        <f t="shared" ca="1" si="59"/>
        <v>230.60311145227058</v>
      </c>
    </row>
    <row r="245" spans="1:20" x14ac:dyDescent="0.25">
      <c r="D245" s="77">
        <f t="shared" si="45"/>
        <v>7.75</v>
      </c>
      <c r="E245" s="81">
        <f t="shared" ref="E245:T245" ca="1" si="60">IF(E221&lt;$G$14,E221,$G$14)</f>
        <v>252.5</v>
      </c>
      <c r="F245" s="81">
        <f t="shared" ca="1" si="60"/>
        <v>252.5</v>
      </c>
      <c r="G245" s="81">
        <f t="shared" ca="1" si="60"/>
        <v>252.5</v>
      </c>
      <c r="H245" s="81">
        <f t="shared" ca="1" si="60"/>
        <v>252.5</v>
      </c>
      <c r="I245" s="81">
        <f t="shared" ca="1" si="60"/>
        <v>252.5</v>
      </c>
      <c r="J245" s="81">
        <f t="shared" ca="1" si="60"/>
        <v>252.5</v>
      </c>
      <c r="K245" s="81">
        <f t="shared" ca="1" si="60"/>
        <v>252.5</v>
      </c>
      <c r="L245" s="81">
        <f t="shared" ca="1" si="60"/>
        <v>252.5</v>
      </c>
      <c r="M245" s="81">
        <f t="shared" ca="1" si="60"/>
        <v>252.5</v>
      </c>
      <c r="N245" s="81">
        <f t="shared" ca="1" si="60"/>
        <v>252.5</v>
      </c>
      <c r="O245" s="81">
        <f t="shared" ca="1" si="60"/>
        <v>252.5</v>
      </c>
      <c r="P245" s="81">
        <f t="shared" ca="1" si="60"/>
        <v>252.5</v>
      </c>
      <c r="Q245" s="81">
        <f t="shared" ca="1" si="60"/>
        <v>252.5</v>
      </c>
      <c r="R245" s="81">
        <f t="shared" ca="1" si="60"/>
        <v>252.5</v>
      </c>
      <c r="S245" s="81">
        <f t="shared" ca="1" si="60"/>
        <v>252.5</v>
      </c>
      <c r="T245" s="81">
        <f t="shared" ca="1" si="60"/>
        <v>246.50677431104793</v>
      </c>
    </row>
    <row r="246" spans="1:20" x14ac:dyDescent="0.25">
      <c r="D246" s="77">
        <f t="shared" si="45"/>
        <v>8.25</v>
      </c>
      <c r="E246" s="81">
        <f t="shared" ref="E246:T246" ca="1" si="61">IF(E222&lt;$G$14,E222,$G$14)</f>
        <v>252.5</v>
      </c>
      <c r="F246" s="81">
        <f t="shared" ca="1" si="61"/>
        <v>252.5</v>
      </c>
      <c r="G246" s="81">
        <f t="shared" ca="1" si="61"/>
        <v>252.5</v>
      </c>
      <c r="H246" s="81">
        <f t="shared" ca="1" si="61"/>
        <v>252.5</v>
      </c>
      <c r="I246" s="81">
        <f t="shared" ca="1" si="61"/>
        <v>252.5</v>
      </c>
      <c r="J246" s="81">
        <f t="shared" ca="1" si="61"/>
        <v>252.5</v>
      </c>
      <c r="K246" s="81">
        <f t="shared" ca="1" si="61"/>
        <v>252.5</v>
      </c>
      <c r="L246" s="81">
        <f t="shared" ca="1" si="61"/>
        <v>252.5</v>
      </c>
      <c r="M246" s="81">
        <f t="shared" ca="1" si="61"/>
        <v>252.5</v>
      </c>
      <c r="N246" s="81">
        <f t="shared" ca="1" si="61"/>
        <v>252.5</v>
      </c>
      <c r="O246" s="81">
        <f t="shared" ca="1" si="61"/>
        <v>252.5</v>
      </c>
      <c r="P246" s="81">
        <f t="shared" ca="1" si="61"/>
        <v>252.5</v>
      </c>
      <c r="Q246" s="81">
        <f t="shared" ca="1" si="61"/>
        <v>252.5</v>
      </c>
      <c r="R246" s="81">
        <f t="shared" ca="1" si="61"/>
        <v>252.5</v>
      </c>
      <c r="S246" s="81">
        <f t="shared" ca="1" si="61"/>
        <v>252.5</v>
      </c>
      <c r="T246" s="81">
        <f t="shared" ca="1" si="61"/>
        <v>252.5</v>
      </c>
    </row>
    <row r="247" spans="1:20" x14ac:dyDescent="0.25">
      <c r="D247" s="77">
        <f t="shared" si="45"/>
        <v>8.75</v>
      </c>
      <c r="E247" s="81">
        <f t="shared" ref="E247:T247" ca="1" si="62">IF(E223&lt;$G$14,E223,$G$14)</f>
        <v>252.5</v>
      </c>
      <c r="F247" s="81">
        <f t="shared" ca="1" si="62"/>
        <v>252.5</v>
      </c>
      <c r="G247" s="81">
        <f t="shared" ca="1" si="62"/>
        <v>252.5</v>
      </c>
      <c r="H247" s="81">
        <f t="shared" ca="1" si="62"/>
        <v>252.5</v>
      </c>
      <c r="I247" s="81">
        <f t="shared" ca="1" si="62"/>
        <v>252.5</v>
      </c>
      <c r="J247" s="81">
        <f t="shared" ca="1" si="62"/>
        <v>252.5</v>
      </c>
      <c r="K247" s="81">
        <f t="shared" ca="1" si="62"/>
        <v>252.5</v>
      </c>
      <c r="L247" s="81">
        <f t="shared" ca="1" si="62"/>
        <v>252.5</v>
      </c>
      <c r="M247" s="81">
        <f t="shared" ca="1" si="62"/>
        <v>252.5</v>
      </c>
      <c r="N247" s="81">
        <f t="shared" ca="1" si="62"/>
        <v>252.5</v>
      </c>
      <c r="O247" s="81">
        <f t="shared" ca="1" si="62"/>
        <v>252.5</v>
      </c>
      <c r="P247" s="81">
        <f t="shared" ca="1" si="62"/>
        <v>252.5</v>
      </c>
      <c r="Q247" s="81">
        <f t="shared" ca="1" si="62"/>
        <v>252.5</v>
      </c>
      <c r="R247" s="81">
        <f t="shared" ca="1" si="62"/>
        <v>252.5</v>
      </c>
      <c r="S247" s="81">
        <f t="shared" ca="1" si="62"/>
        <v>252.5</v>
      </c>
      <c r="T247" s="81">
        <f t="shared" ca="1" si="62"/>
        <v>252.5</v>
      </c>
    </row>
    <row r="248" spans="1:20" x14ac:dyDescent="0.25">
      <c r="D248" s="77">
        <f t="shared" si="45"/>
        <v>9.25</v>
      </c>
      <c r="E248" s="81">
        <f t="shared" ref="E248:T248" ca="1" si="63">IF(E224&lt;$G$14,E224,$G$14)</f>
        <v>252.5</v>
      </c>
      <c r="F248" s="81">
        <f t="shared" ca="1" si="63"/>
        <v>252.5</v>
      </c>
      <c r="G248" s="81">
        <f t="shared" ca="1" si="63"/>
        <v>252.5</v>
      </c>
      <c r="H248" s="81">
        <f t="shared" ca="1" si="63"/>
        <v>252.5</v>
      </c>
      <c r="I248" s="81">
        <f t="shared" ca="1" si="63"/>
        <v>252.5</v>
      </c>
      <c r="J248" s="81">
        <f t="shared" ca="1" si="63"/>
        <v>252.5</v>
      </c>
      <c r="K248" s="81">
        <f t="shared" ca="1" si="63"/>
        <v>252.5</v>
      </c>
      <c r="L248" s="81">
        <f t="shared" ca="1" si="63"/>
        <v>252.5</v>
      </c>
      <c r="M248" s="81">
        <f t="shared" ca="1" si="63"/>
        <v>252.5</v>
      </c>
      <c r="N248" s="81">
        <f t="shared" ca="1" si="63"/>
        <v>252.5</v>
      </c>
      <c r="O248" s="81">
        <f t="shared" ca="1" si="63"/>
        <v>252.5</v>
      </c>
      <c r="P248" s="81">
        <f t="shared" ca="1" si="63"/>
        <v>252.5</v>
      </c>
      <c r="Q248" s="81">
        <f t="shared" ca="1" si="63"/>
        <v>252.5</v>
      </c>
      <c r="R248" s="81">
        <f t="shared" ca="1" si="63"/>
        <v>252.5</v>
      </c>
      <c r="S248" s="81">
        <f t="shared" ca="1" si="63"/>
        <v>252.5</v>
      </c>
      <c r="T248" s="81">
        <f t="shared" ca="1" si="63"/>
        <v>252.5</v>
      </c>
    </row>
    <row r="249" spans="1:20" x14ac:dyDescent="0.25">
      <c r="D249" s="77">
        <f t="shared" si="45"/>
        <v>9.75</v>
      </c>
      <c r="E249" s="81">
        <f t="shared" ref="E249:T249" ca="1" si="64">IF(E225&lt;$G$14,E225,$G$14)</f>
        <v>252.5</v>
      </c>
      <c r="F249" s="81">
        <f t="shared" ca="1" si="64"/>
        <v>252.5</v>
      </c>
      <c r="G249" s="81">
        <f t="shared" ca="1" si="64"/>
        <v>252.5</v>
      </c>
      <c r="H249" s="81">
        <f t="shared" ca="1" si="64"/>
        <v>252.5</v>
      </c>
      <c r="I249" s="81">
        <f t="shared" ca="1" si="64"/>
        <v>252.5</v>
      </c>
      <c r="J249" s="81">
        <f t="shared" ca="1" si="64"/>
        <v>252.5</v>
      </c>
      <c r="K249" s="81">
        <f t="shared" ca="1" si="64"/>
        <v>252.5</v>
      </c>
      <c r="L249" s="81">
        <f t="shared" ca="1" si="64"/>
        <v>252.5</v>
      </c>
      <c r="M249" s="81">
        <f t="shared" ca="1" si="64"/>
        <v>252.5</v>
      </c>
      <c r="N249" s="81">
        <f t="shared" ca="1" si="64"/>
        <v>252.5</v>
      </c>
      <c r="O249" s="81">
        <f t="shared" ca="1" si="64"/>
        <v>252.5</v>
      </c>
      <c r="P249" s="81">
        <f t="shared" ca="1" si="64"/>
        <v>252.5</v>
      </c>
      <c r="Q249" s="81">
        <f t="shared" ca="1" si="64"/>
        <v>252.5</v>
      </c>
      <c r="R249" s="81">
        <f t="shared" ca="1" si="64"/>
        <v>252.5</v>
      </c>
      <c r="S249" s="81">
        <f t="shared" ca="1" si="64"/>
        <v>252.5</v>
      </c>
      <c r="T249" s="81">
        <f t="shared" ca="1" si="64"/>
        <v>252.5</v>
      </c>
    </row>
    <row r="251" spans="1:20" x14ac:dyDescent="0.25">
      <c r="A251" s="45" t="s">
        <v>159</v>
      </c>
    </row>
    <row r="252" spans="1:20" x14ac:dyDescent="0.25">
      <c r="C252" s="82"/>
      <c r="E252" s="43" t="s">
        <v>117</v>
      </c>
      <c r="F252" s="51"/>
      <c r="G252" s="51"/>
      <c r="H252" s="51"/>
      <c r="I252" s="51"/>
      <c r="S252" s="74"/>
      <c r="T252" s="74"/>
    </row>
    <row r="253" spans="1:20" x14ac:dyDescent="0.25">
      <c r="D253" s="75"/>
      <c r="E253" s="76">
        <v>4.5</v>
      </c>
      <c r="F253" s="76">
        <v>5.5</v>
      </c>
      <c r="G253" s="76">
        <v>6.5</v>
      </c>
      <c r="H253" s="76">
        <v>7.5</v>
      </c>
      <c r="I253" s="76">
        <v>8.5</v>
      </c>
      <c r="J253" s="76">
        <v>9.5</v>
      </c>
      <c r="K253" s="76">
        <v>10.5</v>
      </c>
      <c r="L253" s="76">
        <v>11.5</v>
      </c>
      <c r="M253" s="76">
        <v>12.5</v>
      </c>
      <c r="N253" s="76">
        <v>13.5</v>
      </c>
      <c r="O253" s="76">
        <v>14.5</v>
      </c>
      <c r="P253" s="76">
        <v>15.5</v>
      </c>
      <c r="Q253" s="76">
        <v>16.5</v>
      </c>
      <c r="R253" s="76">
        <v>17.5</v>
      </c>
      <c r="S253" s="76">
        <v>18.5</v>
      </c>
      <c r="T253" s="76">
        <v>19.5</v>
      </c>
    </row>
    <row r="254" spans="1:20" x14ac:dyDescent="0.25">
      <c r="C254" s="43" t="s">
        <v>118</v>
      </c>
      <c r="D254" s="77">
        <f>D230</f>
        <v>0.25</v>
      </c>
      <c r="E254" s="81">
        <f ca="1">E230*$G$12</f>
        <v>0.71539094647951351</v>
      </c>
      <c r="F254" s="81">
        <f t="shared" ref="F254:T254" ca="1" si="65">F230*$G$12</f>
        <v>1.3061527431608122</v>
      </c>
      <c r="G254" s="81">
        <f t="shared" ca="1" si="65"/>
        <v>2.1559861583202893</v>
      </c>
      <c r="H254" s="81">
        <f t="shared" ca="1" si="65"/>
        <v>3.3119951225903388</v>
      </c>
      <c r="I254" s="81">
        <f t="shared" ca="1" si="65"/>
        <v>4.8212835666033591</v>
      </c>
      <c r="J254" s="81">
        <f t="shared" ca="1" si="65"/>
        <v>6.7309554209917444</v>
      </c>
      <c r="K254" s="81">
        <f t="shared" ca="1" si="65"/>
        <v>9.0881146163878928</v>
      </c>
      <c r="L254" s="81">
        <f t="shared" ca="1" si="65"/>
        <v>10.786832199866332</v>
      </c>
      <c r="M254" s="81">
        <f t="shared" ca="1" si="65"/>
        <v>9.9238856238770268</v>
      </c>
      <c r="N254" s="81">
        <f t="shared" ca="1" si="65"/>
        <v>9.1887829850713221</v>
      </c>
      <c r="O254" s="81">
        <f t="shared" ca="1" si="65"/>
        <v>8.555073813687093</v>
      </c>
      <c r="P254" s="81">
        <f t="shared" ca="1" si="65"/>
        <v>8.0031335676427631</v>
      </c>
      <c r="Q254" s="81">
        <f t="shared" ca="1" si="65"/>
        <v>7.5180951696038072</v>
      </c>
      <c r="R254" s="81">
        <f t="shared" ca="1" si="65"/>
        <v>7.0884897313407338</v>
      </c>
      <c r="S254" s="81">
        <f t="shared" ca="1" si="65"/>
        <v>6.7053281242412339</v>
      </c>
      <c r="T254" s="81">
        <f t="shared" ca="1" si="65"/>
        <v>6.3614651435109151</v>
      </c>
    </row>
    <row r="255" spans="1:20" x14ac:dyDescent="0.25">
      <c r="D255" s="77">
        <f t="shared" ref="D255:D273" si="66">D231</f>
        <v>0.75</v>
      </c>
      <c r="E255" s="81">
        <f t="shared" ref="E255:T273" ca="1" si="67">E231*$G$12</f>
        <v>6.4385185183156199</v>
      </c>
      <c r="F255" s="81">
        <f t="shared" ca="1" si="67"/>
        <v>11.75537468844731</v>
      </c>
      <c r="G255" s="81">
        <f t="shared" ca="1" si="67"/>
        <v>19.4038754248826</v>
      </c>
      <c r="H255" s="81">
        <f t="shared" ca="1" si="67"/>
        <v>29.807956103313046</v>
      </c>
      <c r="I255" s="81">
        <f t="shared" ca="1" si="67"/>
        <v>43.391552099430228</v>
      </c>
      <c r="J255" s="81">
        <f t="shared" ca="1" si="67"/>
        <v>39.17323272583036</v>
      </c>
      <c r="K255" s="81">
        <f t="shared" ca="1" si="67"/>
        <v>35.442448656703654</v>
      </c>
      <c r="L255" s="81">
        <f t="shared" ca="1" si="67"/>
        <v>32.360496599598989</v>
      </c>
      <c r="M255" s="81">
        <f t="shared" ca="1" si="67"/>
        <v>29.77165687163107</v>
      </c>
      <c r="N255" s="81">
        <f t="shared" ca="1" si="67"/>
        <v>27.566348955213954</v>
      </c>
      <c r="O255" s="81">
        <f t="shared" ca="1" si="67"/>
        <v>25.665221441061266</v>
      </c>
      <c r="P255" s="81">
        <f t="shared" ca="1" si="67"/>
        <v>24.009400702928282</v>
      </c>
      <c r="Q255" s="81">
        <f t="shared" ca="1" si="67"/>
        <v>22.554285508811418</v>
      </c>
      <c r="R255" s="81">
        <f t="shared" ca="1" si="67"/>
        <v>21.265469194022195</v>
      </c>
      <c r="S255" s="81">
        <f t="shared" ca="1" si="67"/>
        <v>20.115984372723698</v>
      </c>
      <c r="T255" s="81">
        <f t="shared" ca="1" si="67"/>
        <v>19.084395430532737</v>
      </c>
    </row>
    <row r="256" spans="1:20" x14ac:dyDescent="0.25">
      <c r="D256" s="77">
        <f t="shared" si="66"/>
        <v>1.25</v>
      </c>
      <c r="E256" s="81">
        <f t="shared" ca="1" si="67"/>
        <v>17.88477366198784</v>
      </c>
      <c r="F256" s="81">
        <f t="shared" ca="1" si="67"/>
        <v>32.65381857902031</v>
      </c>
      <c r="G256" s="81">
        <f t="shared" ca="1" si="67"/>
        <v>53.899653958007242</v>
      </c>
      <c r="H256" s="81">
        <f t="shared" ca="1" si="67"/>
        <v>82.69904686564189</v>
      </c>
      <c r="I256" s="81">
        <f t="shared" ca="1" si="67"/>
        <v>72.969747234389899</v>
      </c>
      <c r="J256" s="81">
        <f t="shared" ca="1" si="67"/>
        <v>65.288721209717281</v>
      </c>
      <c r="K256" s="81">
        <f t="shared" ca="1" si="67"/>
        <v>59.070747761172768</v>
      </c>
      <c r="L256" s="81">
        <f t="shared" ca="1" si="67"/>
        <v>53.934160999331667</v>
      </c>
      <c r="M256" s="81">
        <f t="shared" ca="1" si="67"/>
        <v>49.619428119385127</v>
      </c>
      <c r="N256" s="81">
        <f t="shared" ca="1" si="67"/>
        <v>45.943914925356601</v>
      </c>
      <c r="O256" s="81">
        <f t="shared" ca="1" si="67"/>
        <v>42.775369068435452</v>
      </c>
      <c r="P256" s="81">
        <f t="shared" ca="1" si="67"/>
        <v>40.015667838213808</v>
      </c>
      <c r="Q256" s="81">
        <f t="shared" ca="1" si="67"/>
        <v>37.59047584801904</v>
      </c>
      <c r="R256" s="81">
        <f t="shared" ca="1" si="67"/>
        <v>35.442448656703668</v>
      </c>
      <c r="S256" s="81">
        <f t="shared" ca="1" si="67"/>
        <v>33.52664062120617</v>
      </c>
      <c r="T256" s="81">
        <f t="shared" ca="1" si="67"/>
        <v>31.807325717554569</v>
      </c>
    </row>
    <row r="257" spans="4:20" x14ac:dyDescent="0.25">
      <c r="D257" s="77">
        <f t="shared" si="66"/>
        <v>1.75</v>
      </c>
      <c r="E257" s="81">
        <f t="shared" ca="1" si="67"/>
        <v>35.054156377496156</v>
      </c>
      <c r="F257" s="81">
        <f t="shared" ca="1" si="67"/>
        <v>64.001484414879812</v>
      </c>
      <c r="G257" s="81">
        <f t="shared" ca="1" si="67"/>
        <v>105.64332175769417</v>
      </c>
      <c r="H257" s="81">
        <f t="shared" ca="1" si="67"/>
        <v>115.77866561189865</v>
      </c>
      <c r="I257" s="81">
        <f t="shared" ca="1" si="67"/>
        <v>102.15764612814587</v>
      </c>
      <c r="J257" s="81">
        <f t="shared" ca="1" si="67"/>
        <v>91.404209693604187</v>
      </c>
      <c r="K257" s="81">
        <f t="shared" ca="1" si="67"/>
        <v>82.69904686564189</v>
      </c>
      <c r="L257" s="81">
        <f t="shared" ca="1" si="67"/>
        <v>75.50782539906433</v>
      </c>
      <c r="M257" s="81">
        <f t="shared" ca="1" si="67"/>
        <v>69.467199367139173</v>
      </c>
      <c r="N257" s="81">
        <f t="shared" ca="1" si="67"/>
        <v>64.321480895499249</v>
      </c>
      <c r="O257" s="81">
        <f t="shared" ca="1" si="67"/>
        <v>59.885516695809649</v>
      </c>
      <c r="P257" s="81">
        <f t="shared" ca="1" si="67"/>
        <v>56.021934973499334</v>
      </c>
      <c r="Q257" s="81">
        <f t="shared" ca="1" si="67"/>
        <v>52.626666187226661</v>
      </c>
      <c r="R257" s="81">
        <f t="shared" ca="1" si="67"/>
        <v>49.619428119385134</v>
      </c>
      <c r="S257" s="81">
        <f t="shared" ca="1" si="67"/>
        <v>46.937296869688637</v>
      </c>
      <c r="T257" s="81">
        <f t="shared" ca="1" si="67"/>
        <v>44.530256004576401</v>
      </c>
    </row>
    <row r="258" spans="4:20" x14ac:dyDescent="0.25">
      <c r="D258" s="77">
        <f t="shared" si="66"/>
        <v>2.25</v>
      </c>
      <c r="E258" s="81">
        <f t="shared" ca="1" si="67"/>
        <v>57.946666664840592</v>
      </c>
      <c r="F258" s="81">
        <f t="shared" ca="1" si="67"/>
        <v>105.79837219602578</v>
      </c>
      <c r="G258" s="81">
        <f t="shared" ca="1" si="67"/>
        <v>171.75955887479466</v>
      </c>
      <c r="H258" s="81">
        <f t="shared" ca="1" si="67"/>
        <v>148.85828435815537</v>
      </c>
      <c r="I258" s="81">
        <f t="shared" ca="1" si="67"/>
        <v>131.34554502190178</v>
      </c>
      <c r="J258" s="81">
        <f t="shared" ca="1" si="67"/>
        <v>117.51969817749109</v>
      </c>
      <c r="K258" s="81">
        <f t="shared" ca="1" si="67"/>
        <v>106.32734597011097</v>
      </c>
      <c r="L258" s="81">
        <f t="shared" ca="1" si="67"/>
        <v>97.081489798796994</v>
      </c>
      <c r="M258" s="81">
        <f t="shared" ca="1" si="67"/>
        <v>89.314970614893227</v>
      </c>
      <c r="N258" s="81">
        <f t="shared" ca="1" si="67"/>
        <v>82.69904686564189</v>
      </c>
      <c r="O258" s="81">
        <f t="shared" ca="1" si="67"/>
        <v>76.995664323183817</v>
      </c>
      <c r="P258" s="81">
        <f t="shared" ca="1" si="67"/>
        <v>72.028202108784839</v>
      </c>
      <c r="Q258" s="81">
        <f t="shared" ca="1" si="67"/>
        <v>67.662856526434254</v>
      </c>
      <c r="R258" s="81">
        <f t="shared" ca="1" si="67"/>
        <v>63.796407582066593</v>
      </c>
      <c r="S258" s="81">
        <f t="shared" ca="1" si="67"/>
        <v>60.347953118171091</v>
      </c>
      <c r="T258" s="81">
        <f t="shared" ca="1" si="67"/>
        <v>57.253186291598233</v>
      </c>
    </row>
    <row r="259" spans="4:20" x14ac:dyDescent="0.25">
      <c r="D259" s="77">
        <f t="shared" si="66"/>
        <v>2.75</v>
      </c>
      <c r="E259" s="81">
        <f t="shared" ca="1" si="67"/>
        <v>86.562304524021101</v>
      </c>
      <c r="F259" s="81">
        <f t="shared" ca="1" si="67"/>
        <v>158.04448192245826</v>
      </c>
      <c r="G259" s="81">
        <f t="shared" ca="1" si="67"/>
        <v>202</v>
      </c>
      <c r="H259" s="81">
        <f t="shared" ca="1" si="67"/>
        <v>181.93790310441216</v>
      </c>
      <c r="I259" s="81">
        <f t="shared" ca="1" si="67"/>
        <v>160.53344391565778</v>
      </c>
      <c r="J259" s="81">
        <f t="shared" ca="1" si="67"/>
        <v>143.63518666137801</v>
      </c>
      <c r="K259" s="81">
        <f t="shared" ca="1" si="67"/>
        <v>129.9556450745801</v>
      </c>
      <c r="L259" s="81">
        <f t="shared" ca="1" si="67"/>
        <v>118.65515419852964</v>
      </c>
      <c r="M259" s="81">
        <f t="shared" ca="1" si="67"/>
        <v>109.16274186264728</v>
      </c>
      <c r="N259" s="81">
        <f t="shared" ca="1" si="67"/>
        <v>101.07661283578453</v>
      </c>
      <c r="O259" s="81">
        <f t="shared" ca="1" si="67"/>
        <v>94.105811950558007</v>
      </c>
      <c r="P259" s="81">
        <f t="shared" ca="1" si="67"/>
        <v>88.03446924407038</v>
      </c>
      <c r="Q259" s="81">
        <f t="shared" ca="1" si="67"/>
        <v>82.69904686564189</v>
      </c>
      <c r="R259" s="81">
        <f t="shared" ca="1" si="67"/>
        <v>77.973387044748065</v>
      </c>
      <c r="S259" s="81">
        <f t="shared" ca="1" si="67"/>
        <v>73.758609366653573</v>
      </c>
      <c r="T259" s="81">
        <f t="shared" ca="1" si="67"/>
        <v>69.976116578620051</v>
      </c>
    </row>
    <row r="260" spans="4:20" x14ac:dyDescent="0.25">
      <c r="D260" s="77">
        <f t="shared" si="66"/>
        <v>3.25</v>
      </c>
      <c r="E260" s="81">
        <f t="shared" ca="1" si="67"/>
        <v>120.90106995503777</v>
      </c>
      <c r="F260" s="81">
        <f t="shared" ca="1" si="67"/>
        <v>202</v>
      </c>
      <c r="G260" s="81">
        <f t="shared" ca="1" si="67"/>
        <v>202</v>
      </c>
      <c r="H260" s="81">
        <f t="shared" ca="1" si="67"/>
        <v>202</v>
      </c>
      <c r="I260" s="81">
        <f t="shared" ca="1" si="67"/>
        <v>189.72134280941373</v>
      </c>
      <c r="J260" s="81">
        <f t="shared" ca="1" si="67"/>
        <v>169.75067514526492</v>
      </c>
      <c r="K260" s="81">
        <f t="shared" ca="1" si="67"/>
        <v>153.58394417904921</v>
      </c>
      <c r="L260" s="81">
        <f t="shared" ca="1" si="67"/>
        <v>140.22881859826234</v>
      </c>
      <c r="M260" s="81">
        <f t="shared" ca="1" si="67"/>
        <v>129.01051311040132</v>
      </c>
      <c r="N260" s="81">
        <f t="shared" ca="1" si="67"/>
        <v>119.45417880592716</v>
      </c>
      <c r="O260" s="81">
        <f t="shared" ca="1" si="67"/>
        <v>111.21595957793218</v>
      </c>
      <c r="P260" s="81">
        <f t="shared" ca="1" si="67"/>
        <v>104.04073637935591</v>
      </c>
      <c r="Q260" s="81">
        <f t="shared" ca="1" si="67"/>
        <v>97.735237204849511</v>
      </c>
      <c r="R260" s="81">
        <f t="shared" ca="1" si="67"/>
        <v>92.150366507429524</v>
      </c>
      <c r="S260" s="81">
        <f t="shared" ca="1" si="67"/>
        <v>87.169265615136041</v>
      </c>
      <c r="T260" s="81">
        <f t="shared" ca="1" si="67"/>
        <v>82.69904686564189</v>
      </c>
    </row>
    <row r="261" spans="4:20" x14ac:dyDescent="0.25">
      <c r="D261" s="77">
        <f t="shared" si="66"/>
        <v>3.75</v>
      </c>
      <c r="E261" s="81">
        <f t="shared" ca="1" si="67"/>
        <v>160.96296295789051</v>
      </c>
      <c r="F261" s="81">
        <f t="shared" ca="1" si="67"/>
        <v>202</v>
      </c>
      <c r="G261" s="81">
        <f t="shared" ca="1" si="67"/>
        <v>202</v>
      </c>
      <c r="H261" s="81">
        <f t="shared" ca="1" si="67"/>
        <v>202</v>
      </c>
      <c r="I261" s="81">
        <f t="shared" ca="1" si="67"/>
        <v>202</v>
      </c>
      <c r="J261" s="81">
        <f t="shared" ca="1" si="67"/>
        <v>195.8661636291518</v>
      </c>
      <c r="K261" s="81">
        <f t="shared" ca="1" si="67"/>
        <v>177.21224328351832</v>
      </c>
      <c r="L261" s="81">
        <f t="shared" ca="1" si="67"/>
        <v>161.80248299799496</v>
      </c>
      <c r="M261" s="81">
        <f t="shared" ca="1" si="67"/>
        <v>148.85828435815537</v>
      </c>
      <c r="N261" s="81">
        <f t="shared" ca="1" si="67"/>
        <v>137.8317447760698</v>
      </c>
      <c r="O261" s="81">
        <f t="shared" ca="1" si="67"/>
        <v>128.32610720530633</v>
      </c>
      <c r="P261" s="81">
        <f t="shared" ca="1" si="67"/>
        <v>120.04700351464142</v>
      </c>
      <c r="Q261" s="81">
        <f t="shared" ca="1" si="67"/>
        <v>112.77142754405709</v>
      </c>
      <c r="R261" s="81">
        <f t="shared" ca="1" si="67"/>
        <v>106.327345970111</v>
      </c>
      <c r="S261" s="81">
        <f t="shared" ca="1" si="67"/>
        <v>100.57992186361849</v>
      </c>
      <c r="T261" s="81">
        <f t="shared" ca="1" si="67"/>
        <v>95.421977152663715</v>
      </c>
    </row>
    <row r="262" spans="4:20" x14ac:dyDescent="0.25">
      <c r="D262" s="77">
        <f t="shared" si="66"/>
        <v>4.25</v>
      </c>
      <c r="E262" s="81">
        <f t="shared" ca="1" si="67"/>
        <v>202</v>
      </c>
      <c r="F262" s="81">
        <f t="shared" ca="1" si="67"/>
        <v>202</v>
      </c>
      <c r="G262" s="81">
        <f t="shared" ca="1" si="67"/>
        <v>202</v>
      </c>
      <c r="H262" s="81">
        <f t="shared" ca="1" si="67"/>
        <v>202</v>
      </c>
      <c r="I262" s="81">
        <f t="shared" ca="1" si="67"/>
        <v>202</v>
      </c>
      <c r="J262" s="81">
        <f t="shared" ca="1" si="67"/>
        <v>202</v>
      </c>
      <c r="K262" s="81">
        <f t="shared" ca="1" si="67"/>
        <v>200.84054238798743</v>
      </c>
      <c r="L262" s="81">
        <f t="shared" ca="1" si="67"/>
        <v>183.37614739772766</v>
      </c>
      <c r="M262" s="81">
        <f t="shared" ca="1" si="67"/>
        <v>168.70605560590946</v>
      </c>
      <c r="N262" s="81">
        <f t="shared" ca="1" si="67"/>
        <v>156.20931074621245</v>
      </c>
      <c r="O262" s="81">
        <f t="shared" ca="1" si="67"/>
        <v>145.43625483268053</v>
      </c>
      <c r="P262" s="81">
        <f t="shared" ca="1" si="67"/>
        <v>136.05327064992693</v>
      </c>
      <c r="Q262" s="81">
        <f t="shared" ca="1" si="67"/>
        <v>127.80761788326475</v>
      </c>
      <c r="R262" s="81">
        <f t="shared" ca="1" si="67"/>
        <v>120.50432543279247</v>
      </c>
      <c r="S262" s="81">
        <f t="shared" ca="1" si="67"/>
        <v>113.99057811210099</v>
      </c>
      <c r="T262" s="81">
        <f t="shared" ca="1" si="67"/>
        <v>108.14490743968554</v>
      </c>
    </row>
    <row r="263" spans="4:20" x14ac:dyDescent="0.25">
      <c r="D263" s="77">
        <f t="shared" si="66"/>
        <v>4.75</v>
      </c>
      <c r="E263" s="81">
        <f t="shared" ca="1" si="67"/>
        <v>202</v>
      </c>
      <c r="F263" s="81">
        <f t="shared" ca="1" si="67"/>
        <v>202</v>
      </c>
      <c r="G263" s="81">
        <f t="shared" ca="1" si="67"/>
        <v>202</v>
      </c>
      <c r="H263" s="81">
        <f t="shared" ca="1" si="67"/>
        <v>202</v>
      </c>
      <c r="I263" s="81">
        <f t="shared" ca="1" si="67"/>
        <v>202</v>
      </c>
      <c r="J263" s="81">
        <f t="shared" ca="1" si="67"/>
        <v>202</v>
      </c>
      <c r="K263" s="81">
        <f t="shared" ca="1" si="67"/>
        <v>202</v>
      </c>
      <c r="L263" s="81">
        <f t="shared" ca="1" si="67"/>
        <v>202</v>
      </c>
      <c r="M263" s="81">
        <f t="shared" ca="1" si="67"/>
        <v>188.55382685366345</v>
      </c>
      <c r="N263" s="81">
        <f t="shared" ca="1" si="67"/>
        <v>174.58687671635508</v>
      </c>
      <c r="O263" s="81">
        <f t="shared" ca="1" si="67"/>
        <v>162.54640246005474</v>
      </c>
      <c r="P263" s="81">
        <f t="shared" ca="1" si="67"/>
        <v>152.05953778521246</v>
      </c>
      <c r="Q263" s="81">
        <f t="shared" ca="1" si="67"/>
        <v>142.84380822247232</v>
      </c>
      <c r="R263" s="81">
        <f t="shared" ca="1" si="67"/>
        <v>134.68130489547394</v>
      </c>
      <c r="S263" s="81">
        <f t="shared" ca="1" si="67"/>
        <v>127.40123436058343</v>
      </c>
      <c r="T263" s="81">
        <f t="shared" ca="1" si="67"/>
        <v>120.86783772670736</v>
      </c>
    </row>
    <row r="264" spans="4:20" x14ac:dyDescent="0.25">
      <c r="D264" s="77">
        <f t="shared" si="66"/>
        <v>5.25</v>
      </c>
      <c r="E264" s="81">
        <f t="shared" ca="1" si="67"/>
        <v>202</v>
      </c>
      <c r="F264" s="81">
        <f t="shared" ca="1" si="67"/>
        <v>202</v>
      </c>
      <c r="G264" s="81">
        <f t="shared" ca="1" si="67"/>
        <v>202</v>
      </c>
      <c r="H264" s="81">
        <f t="shared" ca="1" si="67"/>
        <v>202</v>
      </c>
      <c r="I264" s="81">
        <f t="shared" ca="1" si="67"/>
        <v>202</v>
      </c>
      <c r="J264" s="81">
        <f t="shared" ca="1" si="67"/>
        <v>202</v>
      </c>
      <c r="K264" s="81">
        <f t="shared" ca="1" si="67"/>
        <v>202</v>
      </c>
      <c r="L264" s="81">
        <f t="shared" ca="1" si="67"/>
        <v>202</v>
      </c>
      <c r="M264" s="81">
        <f t="shared" ca="1" si="67"/>
        <v>202</v>
      </c>
      <c r="N264" s="81">
        <f t="shared" ca="1" si="67"/>
        <v>192.96444268649773</v>
      </c>
      <c r="O264" s="81">
        <f t="shared" ca="1" si="67"/>
        <v>179.65655008742891</v>
      </c>
      <c r="P264" s="81">
        <f t="shared" ca="1" si="67"/>
        <v>168.06580492049798</v>
      </c>
      <c r="Q264" s="81">
        <f t="shared" ca="1" si="67"/>
        <v>157.87999856167994</v>
      </c>
      <c r="R264" s="81">
        <f t="shared" ca="1" si="67"/>
        <v>148.85828435815537</v>
      </c>
      <c r="S264" s="81">
        <f t="shared" ca="1" si="67"/>
        <v>140.8118906090659</v>
      </c>
      <c r="T264" s="81">
        <f t="shared" ca="1" si="67"/>
        <v>133.59076801372919</v>
      </c>
    </row>
    <row r="265" spans="4:20" x14ac:dyDescent="0.25">
      <c r="D265" s="77">
        <f t="shared" si="66"/>
        <v>5.75</v>
      </c>
      <c r="E265" s="81">
        <f t="shared" ca="1" si="67"/>
        <v>202</v>
      </c>
      <c r="F265" s="81">
        <f t="shared" ca="1" si="67"/>
        <v>202</v>
      </c>
      <c r="G265" s="81">
        <f t="shared" ca="1" si="67"/>
        <v>202</v>
      </c>
      <c r="H265" s="81">
        <f t="shared" ca="1" si="67"/>
        <v>202</v>
      </c>
      <c r="I265" s="81">
        <f t="shared" ca="1" si="67"/>
        <v>202</v>
      </c>
      <c r="J265" s="81">
        <f t="shared" ca="1" si="67"/>
        <v>202</v>
      </c>
      <c r="K265" s="81">
        <f t="shared" ca="1" si="67"/>
        <v>202</v>
      </c>
      <c r="L265" s="81">
        <f t="shared" ca="1" si="67"/>
        <v>202</v>
      </c>
      <c r="M265" s="81">
        <f t="shared" ca="1" si="67"/>
        <v>202</v>
      </c>
      <c r="N265" s="81">
        <f t="shared" ca="1" si="67"/>
        <v>202</v>
      </c>
      <c r="O265" s="81">
        <f t="shared" ca="1" si="67"/>
        <v>196.76669771480309</v>
      </c>
      <c r="P265" s="81">
        <f t="shared" ca="1" si="67"/>
        <v>184.07207205578354</v>
      </c>
      <c r="Q265" s="81">
        <f t="shared" ca="1" si="67"/>
        <v>172.91618890088759</v>
      </c>
      <c r="R265" s="81">
        <f t="shared" ca="1" si="67"/>
        <v>163.03526382083686</v>
      </c>
      <c r="S265" s="81">
        <f t="shared" ca="1" si="67"/>
        <v>154.22254685754837</v>
      </c>
      <c r="T265" s="81">
        <f t="shared" ca="1" si="67"/>
        <v>146.31369830075104</v>
      </c>
    </row>
    <row r="266" spans="4:20" x14ac:dyDescent="0.25">
      <c r="D266" s="77">
        <f t="shared" si="66"/>
        <v>6.25</v>
      </c>
      <c r="E266" s="81">
        <f t="shared" ca="1" si="67"/>
        <v>202</v>
      </c>
      <c r="F266" s="81">
        <f t="shared" ca="1" si="67"/>
        <v>202</v>
      </c>
      <c r="G266" s="81">
        <f t="shared" ca="1" si="67"/>
        <v>202</v>
      </c>
      <c r="H266" s="81">
        <f t="shared" ca="1" si="67"/>
        <v>202</v>
      </c>
      <c r="I266" s="81">
        <f t="shared" ca="1" si="67"/>
        <v>202</v>
      </c>
      <c r="J266" s="81">
        <f t="shared" ca="1" si="67"/>
        <v>202</v>
      </c>
      <c r="K266" s="81">
        <f t="shared" ca="1" si="67"/>
        <v>202</v>
      </c>
      <c r="L266" s="81">
        <f t="shared" ca="1" si="67"/>
        <v>202</v>
      </c>
      <c r="M266" s="81">
        <f t="shared" ca="1" si="67"/>
        <v>202</v>
      </c>
      <c r="N266" s="81">
        <f t="shared" ca="1" si="67"/>
        <v>202</v>
      </c>
      <c r="O266" s="81">
        <f t="shared" ca="1" si="67"/>
        <v>202</v>
      </c>
      <c r="P266" s="81">
        <f t="shared" ca="1" si="67"/>
        <v>200.07833919106906</v>
      </c>
      <c r="Q266" s="81">
        <f t="shared" ca="1" si="67"/>
        <v>187.95237924009518</v>
      </c>
      <c r="R266" s="81">
        <f t="shared" ca="1" si="67"/>
        <v>177.21224328351832</v>
      </c>
      <c r="S266" s="81">
        <f t="shared" ca="1" si="67"/>
        <v>167.63320310603083</v>
      </c>
      <c r="T266" s="81">
        <f t="shared" ca="1" si="67"/>
        <v>159.03662858777284</v>
      </c>
    </row>
    <row r="267" spans="4:20" x14ac:dyDescent="0.25">
      <c r="D267" s="77">
        <f t="shared" si="66"/>
        <v>6.75</v>
      </c>
      <c r="E267" s="81">
        <f t="shared" ca="1" si="67"/>
        <v>202</v>
      </c>
      <c r="F267" s="81">
        <f t="shared" ca="1" si="67"/>
        <v>202</v>
      </c>
      <c r="G267" s="81">
        <f t="shared" ca="1" si="67"/>
        <v>202</v>
      </c>
      <c r="H267" s="81">
        <f t="shared" ca="1" si="67"/>
        <v>202</v>
      </c>
      <c r="I267" s="81">
        <f t="shared" ca="1" si="67"/>
        <v>202</v>
      </c>
      <c r="J267" s="81">
        <f t="shared" ca="1" si="67"/>
        <v>202</v>
      </c>
      <c r="K267" s="81">
        <f t="shared" ca="1" si="67"/>
        <v>202</v>
      </c>
      <c r="L267" s="81">
        <f t="shared" ca="1" si="67"/>
        <v>202</v>
      </c>
      <c r="M267" s="81">
        <f t="shared" ca="1" si="67"/>
        <v>202</v>
      </c>
      <c r="N267" s="81">
        <f t="shared" ca="1" si="67"/>
        <v>202</v>
      </c>
      <c r="O267" s="81">
        <f t="shared" ca="1" si="67"/>
        <v>202</v>
      </c>
      <c r="P267" s="81">
        <f t="shared" ca="1" si="67"/>
        <v>202</v>
      </c>
      <c r="Q267" s="81">
        <f t="shared" ca="1" si="67"/>
        <v>202</v>
      </c>
      <c r="R267" s="81">
        <f t="shared" ca="1" si="67"/>
        <v>191.38922274619983</v>
      </c>
      <c r="S267" s="81">
        <f t="shared" ca="1" si="67"/>
        <v>181.04385935451333</v>
      </c>
      <c r="T267" s="81">
        <f t="shared" ca="1" si="67"/>
        <v>171.75955887479472</v>
      </c>
    </row>
    <row r="268" spans="4:20" x14ac:dyDescent="0.25">
      <c r="D268" s="77">
        <f t="shared" si="66"/>
        <v>7.25</v>
      </c>
      <c r="E268" s="81">
        <f t="shared" ca="1" si="67"/>
        <v>202</v>
      </c>
      <c r="F268" s="81">
        <f t="shared" ca="1" si="67"/>
        <v>202</v>
      </c>
      <c r="G268" s="81">
        <f t="shared" ca="1" si="67"/>
        <v>202</v>
      </c>
      <c r="H268" s="81">
        <f t="shared" ca="1" si="67"/>
        <v>202</v>
      </c>
      <c r="I268" s="81">
        <f t="shared" ca="1" si="67"/>
        <v>202</v>
      </c>
      <c r="J268" s="81">
        <f t="shared" ca="1" si="67"/>
        <v>202</v>
      </c>
      <c r="K268" s="81">
        <f t="shared" ca="1" si="67"/>
        <v>202</v>
      </c>
      <c r="L268" s="81">
        <f t="shared" ca="1" si="67"/>
        <v>202</v>
      </c>
      <c r="M268" s="81">
        <f t="shared" ca="1" si="67"/>
        <v>202</v>
      </c>
      <c r="N268" s="81">
        <f t="shared" ca="1" si="67"/>
        <v>202</v>
      </c>
      <c r="O268" s="81">
        <f t="shared" ca="1" si="67"/>
        <v>202</v>
      </c>
      <c r="P268" s="81">
        <f t="shared" ca="1" si="67"/>
        <v>202</v>
      </c>
      <c r="Q268" s="81">
        <f t="shared" ca="1" si="67"/>
        <v>202</v>
      </c>
      <c r="R268" s="81">
        <f t="shared" ca="1" si="67"/>
        <v>202</v>
      </c>
      <c r="S268" s="81">
        <f t="shared" ca="1" si="67"/>
        <v>194.45451560299571</v>
      </c>
      <c r="T268" s="81">
        <f t="shared" ca="1" si="67"/>
        <v>184.48248916181649</v>
      </c>
    </row>
    <row r="269" spans="4:20" x14ac:dyDescent="0.25">
      <c r="D269" s="77">
        <f t="shared" si="66"/>
        <v>7.75</v>
      </c>
      <c r="E269" s="81">
        <f t="shared" ca="1" si="67"/>
        <v>202</v>
      </c>
      <c r="F269" s="81">
        <f t="shared" ca="1" si="67"/>
        <v>202</v>
      </c>
      <c r="G269" s="81">
        <f t="shared" ca="1" si="67"/>
        <v>202</v>
      </c>
      <c r="H269" s="81">
        <f t="shared" ca="1" si="67"/>
        <v>202</v>
      </c>
      <c r="I269" s="81">
        <f t="shared" ca="1" si="67"/>
        <v>202</v>
      </c>
      <c r="J269" s="81">
        <f t="shared" ca="1" si="67"/>
        <v>202</v>
      </c>
      <c r="K269" s="81">
        <f t="shared" ca="1" si="67"/>
        <v>202</v>
      </c>
      <c r="L269" s="81">
        <f t="shared" ca="1" si="67"/>
        <v>202</v>
      </c>
      <c r="M269" s="81">
        <f t="shared" ca="1" si="67"/>
        <v>202</v>
      </c>
      <c r="N269" s="81">
        <f t="shared" ca="1" si="67"/>
        <v>202</v>
      </c>
      <c r="O269" s="81">
        <f t="shared" ca="1" si="67"/>
        <v>202</v>
      </c>
      <c r="P269" s="81">
        <f t="shared" ca="1" si="67"/>
        <v>202</v>
      </c>
      <c r="Q269" s="81">
        <f t="shared" ca="1" si="67"/>
        <v>202</v>
      </c>
      <c r="R269" s="81">
        <f t="shared" ca="1" si="67"/>
        <v>202</v>
      </c>
      <c r="S269" s="81">
        <f t="shared" ca="1" si="67"/>
        <v>202</v>
      </c>
      <c r="T269" s="81">
        <f t="shared" ca="1" si="67"/>
        <v>197.20541944883837</v>
      </c>
    </row>
    <row r="270" spans="4:20" x14ac:dyDescent="0.25">
      <c r="D270" s="77">
        <f t="shared" si="66"/>
        <v>8.25</v>
      </c>
      <c r="E270" s="81">
        <f t="shared" ca="1" si="67"/>
        <v>202</v>
      </c>
      <c r="F270" s="81">
        <f t="shared" ca="1" si="67"/>
        <v>202</v>
      </c>
      <c r="G270" s="81">
        <f t="shared" ca="1" si="67"/>
        <v>202</v>
      </c>
      <c r="H270" s="81">
        <f t="shared" ca="1" si="67"/>
        <v>202</v>
      </c>
      <c r="I270" s="81">
        <f t="shared" ca="1" si="67"/>
        <v>202</v>
      </c>
      <c r="J270" s="81">
        <f t="shared" ca="1" si="67"/>
        <v>202</v>
      </c>
      <c r="K270" s="81">
        <f t="shared" ca="1" si="67"/>
        <v>202</v>
      </c>
      <c r="L270" s="81">
        <f t="shared" ca="1" si="67"/>
        <v>202</v>
      </c>
      <c r="M270" s="81">
        <f t="shared" ca="1" si="67"/>
        <v>202</v>
      </c>
      <c r="N270" s="81">
        <f t="shared" ca="1" si="67"/>
        <v>202</v>
      </c>
      <c r="O270" s="81">
        <f t="shared" ca="1" si="67"/>
        <v>202</v>
      </c>
      <c r="P270" s="81">
        <f t="shared" ca="1" si="67"/>
        <v>202</v>
      </c>
      <c r="Q270" s="81">
        <f t="shared" ref="F270:T273" ca="1" si="68">Q246*$G$12</f>
        <v>202</v>
      </c>
      <c r="R270" s="81">
        <f t="shared" ca="1" si="68"/>
        <v>202</v>
      </c>
      <c r="S270" s="81">
        <f t="shared" ca="1" si="68"/>
        <v>202</v>
      </c>
      <c r="T270" s="81">
        <f t="shared" ca="1" si="68"/>
        <v>202</v>
      </c>
    </row>
    <row r="271" spans="4:20" x14ac:dyDescent="0.25">
      <c r="D271" s="77">
        <f t="shared" si="66"/>
        <v>8.75</v>
      </c>
      <c r="E271" s="81">
        <f t="shared" ca="1" si="67"/>
        <v>202</v>
      </c>
      <c r="F271" s="81">
        <f t="shared" ca="1" si="68"/>
        <v>202</v>
      </c>
      <c r="G271" s="81">
        <f t="shared" ca="1" si="68"/>
        <v>202</v>
      </c>
      <c r="H271" s="81">
        <f t="shared" ca="1" si="68"/>
        <v>202</v>
      </c>
      <c r="I271" s="81">
        <f t="shared" ca="1" si="68"/>
        <v>202</v>
      </c>
      <c r="J271" s="81">
        <f t="shared" ca="1" si="68"/>
        <v>202</v>
      </c>
      <c r="K271" s="81">
        <f t="shared" ca="1" si="68"/>
        <v>202</v>
      </c>
      <c r="L271" s="81">
        <f t="shared" ca="1" si="68"/>
        <v>202</v>
      </c>
      <c r="M271" s="81">
        <f t="shared" ca="1" si="68"/>
        <v>202</v>
      </c>
      <c r="N271" s="81">
        <f t="shared" ca="1" si="68"/>
        <v>202</v>
      </c>
      <c r="O271" s="81">
        <f t="shared" ca="1" si="68"/>
        <v>202</v>
      </c>
      <c r="P271" s="81">
        <f t="shared" ca="1" si="68"/>
        <v>202</v>
      </c>
      <c r="Q271" s="81">
        <f t="shared" ca="1" si="68"/>
        <v>202</v>
      </c>
      <c r="R271" s="81">
        <f t="shared" ca="1" si="68"/>
        <v>202</v>
      </c>
      <c r="S271" s="81">
        <f t="shared" ca="1" si="68"/>
        <v>202</v>
      </c>
      <c r="T271" s="81">
        <f t="shared" ca="1" si="68"/>
        <v>202</v>
      </c>
    </row>
    <row r="272" spans="4:20" x14ac:dyDescent="0.25">
      <c r="D272" s="77">
        <f t="shared" si="66"/>
        <v>9.25</v>
      </c>
      <c r="E272" s="81">
        <f t="shared" ca="1" si="67"/>
        <v>202</v>
      </c>
      <c r="F272" s="81">
        <f t="shared" ca="1" si="68"/>
        <v>202</v>
      </c>
      <c r="G272" s="81">
        <f t="shared" ca="1" si="68"/>
        <v>202</v>
      </c>
      <c r="H272" s="81">
        <f t="shared" ca="1" si="68"/>
        <v>202</v>
      </c>
      <c r="I272" s="81">
        <f t="shared" ca="1" si="68"/>
        <v>202</v>
      </c>
      <c r="J272" s="81">
        <f t="shared" ca="1" si="68"/>
        <v>202</v>
      </c>
      <c r="K272" s="81">
        <f t="shared" ca="1" si="68"/>
        <v>202</v>
      </c>
      <c r="L272" s="81">
        <f t="shared" ca="1" si="68"/>
        <v>202</v>
      </c>
      <c r="M272" s="81">
        <f t="shared" ca="1" si="68"/>
        <v>202</v>
      </c>
      <c r="N272" s="81">
        <f t="shared" ca="1" si="68"/>
        <v>202</v>
      </c>
      <c r="O272" s="81">
        <f t="shared" ca="1" si="68"/>
        <v>202</v>
      </c>
      <c r="P272" s="81">
        <f t="shared" ca="1" si="68"/>
        <v>202</v>
      </c>
      <c r="Q272" s="81">
        <f t="shared" ca="1" si="68"/>
        <v>202</v>
      </c>
      <c r="R272" s="81">
        <f t="shared" ca="1" si="68"/>
        <v>202</v>
      </c>
      <c r="S272" s="81">
        <f t="shared" ca="1" si="68"/>
        <v>202</v>
      </c>
      <c r="T272" s="81">
        <f t="shared" ca="1" si="68"/>
        <v>202</v>
      </c>
    </row>
    <row r="273" spans="4:20" x14ac:dyDescent="0.25">
      <c r="D273" s="77">
        <f t="shared" si="66"/>
        <v>9.75</v>
      </c>
      <c r="E273" s="81">
        <f t="shared" ca="1" si="67"/>
        <v>202</v>
      </c>
      <c r="F273" s="81">
        <f t="shared" ca="1" si="68"/>
        <v>202</v>
      </c>
      <c r="G273" s="81">
        <f t="shared" ca="1" si="68"/>
        <v>202</v>
      </c>
      <c r="H273" s="81">
        <f t="shared" ca="1" si="68"/>
        <v>202</v>
      </c>
      <c r="I273" s="81">
        <f t="shared" ca="1" si="68"/>
        <v>202</v>
      </c>
      <c r="J273" s="81">
        <f t="shared" ca="1" si="68"/>
        <v>202</v>
      </c>
      <c r="K273" s="81">
        <f t="shared" ca="1" si="68"/>
        <v>202</v>
      </c>
      <c r="L273" s="81">
        <f t="shared" ca="1" si="68"/>
        <v>202</v>
      </c>
      <c r="M273" s="81">
        <f t="shared" ca="1" si="68"/>
        <v>202</v>
      </c>
      <c r="N273" s="81">
        <f t="shared" ca="1" si="68"/>
        <v>202</v>
      </c>
      <c r="O273" s="81">
        <f t="shared" ca="1" si="68"/>
        <v>202</v>
      </c>
      <c r="P273" s="81">
        <f t="shared" ca="1" si="68"/>
        <v>202</v>
      </c>
      <c r="Q273" s="81">
        <f t="shared" ca="1" si="68"/>
        <v>202</v>
      </c>
      <c r="R273" s="81">
        <f t="shared" ca="1" si="68"/>
        <v>202</v>
      </c>
      <c r="S273" s="81">
        <f t="shared" ca="1" si="68"/>
        <v>202</v>
      </c>
      <c r="T273" s="81">
        <f t="shared" ca="1" si="68"/>
        <v>202</v>
      </c>
    </row>
  </sheetData>
  <dataConsolidate/>
  <pageMargins left="0.75" right="0.75" top="1" bottom="1" header="0.5" footer="0.5"/>
  <pageSetup scale="92" orientation="portrait" horizontalDpi="300" verticalDpi="300" r:id="rId1"/>
  <headerFooter alignWithMargins="0"/>
  <colBreaks count="2" manualBreakCount="2">
    <brk id="13" max="1048575" man="1"/>
    <brk id="21" max="1048575" man="1"/>
  </colBreaks>
  <drawing r:id="rId2"/>
  <legacyDrawing r:id="rId3"/>
  <controls>
    <mc:AlternateContent xmlns:mc="http://schemas.openxmlformats.org/markup-compatibility/2006">
      <mc:Choice Requires="x14">
        <control shapeId="10241" r:id="rId4" name="CommandButton1">
          <controlPr locked="0" defaultSize="0" autoLine="0" autoPict="0" r:id="rId5">
            <anchor moveWithCells="1" sizeWithCells="1">
              <from>
                <xdr:col>1</xdr:col>
                <xdr:colOff>38100</xdr:colOff>
                <xdr:row>26</xdr:row>
                <xdr:rowOff>0</xdr:rowOff>
              </from>
              <to>
                <xdr:col>9</xdr:col>
                <xdr:colOff>495300</xdr:colOff>
                <xdr:row>26</xdr:row>
                <xdr:rowOff>0</xdr:rowOff>
              </to>
            </anchor>
          </controlPr>
        </control>
      </mc:Choice>
      <mc:Fallback>
        <control shapeId="10241" r:id="rId4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944FA-A8AB-498D-B537-FC9A257EB21D}">
  <sheetPr codeName="Sheet2"/>
  <dimension ref="A1:U545"/>
  <sheetViews>
    <sheetView topLeftCell="A498" zoomScale="70" zoomScaleNormal="70" workbookViewId="0">
      <selection activeCell="C2" sqref="C2"/>
    </sheetView>
  </sheetViews>
  <sheetFormatPr defaultRowHeight="14.4" x14ac:dyDescent="0.3"/>
  <cols>
    <col min="1" max="1" width="4.88671875" customWidth="1"/>
    <col min="4" max="11" width="10.5546875" bestFit="1" customWidth="1"/>
    <col min="12" max="12" width="9.5546875" bestFit="1" customWidth="1"/>
    <col min="13" max="14" width="10.5546875" bestFit="1" customWidth="1"/>
    <col min="15" max="19" width="9.5546875" bestFit="1" customWidth="1"/>
  </cols>
  <sheetData>
    <row r="1" spans="1:19" x14ac:dyDescent="0.3">
      <c r="A1" t="s">
        <v>122</v>
      </c>
      <c r="C1" s="11">
        <f>'Compute Performance'!G5</f>
        <v>11</v>
      </c>
      <c r="D1" s="88">
        <f>'Compute Performance'!G12</f>
        <v>0.8</v>
      </c>
    </row>
    <row r="2" spans="1:19" x14ac:dyDescent="0.3">
      <c r="A2" t="s">
        <v>123</v>
      </c>
      <c r="C2" s="32">
        <f>34*C1+3</f>
        <v>377</v>
      </c>
    </row>
    <row r="4" spans="1:19" x14ac:dyDescent="0.3">
      <c r="A4" s="45" t="s">
        <v>89</v>
      </c>
      <c r="B4" s="43"/>
    </row>
    <row r="5" spans="1:19" x14ac:dyDescent="0.3">
      <c r="A5" s="43"/>
      <c r="B5" s="43" t="s">
        <v>91</v>
      </c>
      <c r="D5" cm="1">
        <f t="array" aca="1" ref="D5" ca="1">INDIRECT("D"&amp;34*$C$1+5)</f>
        <v>11</v>
      </c>
      <c r="E5" t="s">
        <v>4</v>
      </c>
    </row>
    <row r="6" spans="1:19" x14ac:dyDescent="0.3">
      <c r="A6" s="43"/>
      <c r="B6" s="43" t="s">
        <v>93</v>
      </c>
      <c r="D6" cm="1">
        <f t="array" aca="1" ref="D6" ca="1">INDIRECT("D"&amp;34*$C$1+6)</f>
        <v>3.3</v>
      </c>
      <c r="E6" t="s">
        <v>4</v>
      </c>
    </row>
    <row r="7" spans="1:19" x14ac:dyDescent="0.3">
      <c r="A7" s="43"/>
      <c r="B7" s="43" t="s">
        <v>124</v>
      </c>
      <c r="D7" s="5" cm="1">
        <f t="array" aca="1" ref="D7" ca="1">INDIRECT("D"&amp;34*$C$1+7)</f>
        <v>313.60948664460108</v>
      </c>
      <c r="E7" t="s">
        <v>5</v>
      </c>
    </row>
    <row r="8" spans="1:19" x14ac:dyDescent="0.3">
      <c r="A8" s="43"/>
      <c r="B8" s="43" t="s">
        <v>12</v>
      </c>
      <c r="D8" cm="1">
        <f t="array" aca="1" ref="D8" ca="1">INDIRECT("D"&amp;34*$C$1+8)</f>
        <v>0</v>
      </c>
      <c r="E8" t="s">
        <v>125</v>
      </c>
    </row>
    <row r="9" spans="1:19" x14ac:dyDescent="0.3">
      <c r="A9" s="43"/>
      <c r="B9" s="43" t="s">
        <v>126</v>
      </c>
      <c r="D9" cm="1">
        <f t="array" aca="1" ref="D9" ca="1">INDIRECT("D"&amp;34*$C$1+9)</f>
        <v>0.1</v>
      </c>
    </row>
    <row r="10" spans="1:19" x14ac:dyDescent="0.3">
      <c r="B10" s="43" t="s">
        <v>127</v>
      </c>
      <c r="D10" cm="1">
        <f t="array" aca="1" ref="D10" ca="1">INDIRECT("D"&amp;34*$C$1+10)</f>
        <v>0.1</v>
      </c>
    </row>
    <row r="11" spans="1:19" x14ac:dyDescent="0.3">
      <c r="B11" s="43" t="s">
        <v>75</v>
      </c>
      <c r="D11" cm="1">
        <f t="array" aca="1" ref="D11" ca="1">INDIRECT("D"&amp;34*$C$1+11)</f>
        <v>1</v>
      </c>
    </row>
    <row r="13" spans="1:19" x14ac:dyDescent="0.3">
      <c r="A13" s="7" t="s">
        <v>18</v>
      </c>
    </row>
    <row r="14" spans="1:19" x14ac:dyDescent="0.3">
      <c r="B14" s="43"/>
      <c r="C14" s="43"/>
      <c r="D14" s="43" t="s">
        <v>117</v>
      </c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</row>
    <row r="15" spans="1:19" x14ac:dyDescent="0.3">
      <c r="B15" s="43"/>
      <c r="C15" s="75"/>
      <c r="D15" s="76">
        <v>4.5</v>
      </c>
      <c r="E15" s="76">
        <v>5.5</v>
      </c>
      <c r="F15" s="76">
        <v>6.5</v>
      </c>
      <c r="G15" s="76">
        <v>7.5</v>
      </c>
      <c r="H15" s="76">
        <v>8.5</v>
      </c>
      <c r="I15" s="76">
        <v>9.5</v>
      </c>
      <c r="J15" s="76">
        <v>10.5</v>
      </c>
      <c r="K15" s="76">
        <v>11.5</v>
      </c>
      <c r="L15" s="76">
        <v>12.5</v>
      </c>
      <c r="M15" s="76">
        <v>13.5</v>
      </c>
      <c r="N15" s="76">
        <v>14.5</v>
      </c>
      <c r="O15" s="76">
        <v>15.5</v>
      </c>
      <c r="P15" s="76">
        <v>16.5</v>
      </c>
      <c r="Q15" s="76">
        <v>17.5</v>
      </c>
      <c r="R15" s="76">
        <v>18.5</v>
      </c>
      <c r="S15" s="76">
        <v>19.5</v>
      </c>
    </row>
    <row r="16" spans="1:19" x14ac:dyDescent="0.3">
      <c r="B16" s="43" t="s">
        <v>118</v>
      </c>
      <c r="C16" s="77">
        <v>0.25</v>
      </c>
      <c r="D16" s="83" cm="1">
        <f t="array" aca="1" ref="D16" ca="1">INDIRECT("D"&amp;34*$C$1+16)</f>
        <v>358.05099652815096</v>
      </c>
      <c r="E16" s="83" cm="1">
        <f t="array" aca="1" ref="E16" ca="1">INDIRECT("E"&amp;34*$C$1+16)</f>
        <v>481.10514063447403</v>
      </c>
      <c r="F16" s="83" cm="1">
        <f t="array" aca="1" ref="F16" ca="1">INDIRECT("F"&amp;34*$C$1+16)</f>
        <v>604.15928474079806</v>
      </c>
      <c r="G16" s="83" cm="1">
        <f t="array" aca="1" ref="G16" ca="1">INDIRECT("G"&amp;34*$C$1+16)</f>
        <v>630.68311057486108</v>
      </c>
      <c r="H16" s="83" cm="1">
        <f t="array" aca="1" ref="H16" ca="1">INDIRECT("H"&amp;34*$C$1+16)</f>
        <v>657.206936408925</v>
      </c>
      <c r="I16" s="83" cm="1">
        <f t="array" aca="1" ref="I16" ca="1">INDIRECT("I"&amp;34*$C$1+16)</f>
        <v>628.50910352049709</v>
      </c>
      <c r="J16" s="83" cm="1">
        <f t="array" aca="1" ref="J16" ca="1">INDIRECT("J"&amp;34*$C$1+16)</f>
        <v>599.81127063206793</v>
      </c>
      <c r="K16" s="83" cm="1">
        <f t="array" aca="1" ref="K16" ca="1">INDIRECT("K"&amp;34*$C$1+16)</f>
        <v>602.78142820352195</v>
      </c>
      <c r="L16" s="83" cm="1">
        <f t="array" aca="1" ref="L16" ca="1">INDIRECT("L"&amp;34*$C$1+16)</f>
        <v>605.75158577497598</v>
      </c>
      <c r="M16" s="83" cm="1">
        <f t="array" aca="1" ref="M16" ca="1">INDIRECT("M"&amp;34*$C$1+16)</f>
        <v>571.70830752130303</v>
      </c>
      <c r="N16" s="83" cm="1">
        <f t="array" aca="1" ref="N16" ca="1">INDIRECT("N"&amp;34*$C$1+16)</f>
        <v>537.66502926762905</v>
      </c>
      <c r="O16" s="83" cm="1">
        <f t="array" aca="1" ref="O16" ca="1">INDIRECT("O"&amp;34*$C$1+16)</f>
        <v>490.95339586724901</v>
      </c>
      <c r="P16" s="83" cm="1">
        <f t="array" aca="1" ref="P16" ca="1">INDIRECT("P"&amp;34*$C$1+16)</f>
        <v>444.24176246686898</v>
      </c>
      <c r="Q16" s="83" cm="1">
        <f t="array" aca="1" ref="Q16" ca="1">INDIRECT("Q"&amp;34*$C$1+16)</f>
        <v>408.013596253652</v>
      </c>
      <c r="R16" s="83" cm="1">
        <f t="array" aca="1" ref="R16" ca="1">INDIRECT("R"&amp;34*$C$1+16)</f>
        <v>371.78543004043604</v>
      </c>
      <c r="S16" s="83" cm="1">
        <f t="array" aca="1" ref="S16" ca="1">INDIRECT("S"&amp;34*$C$1+16)</f>
        <v>0</v>
      </c>
    </row>
    <row r="17" spans="2:19" x14ac:dyDescent="0.3">
      <c r="B17" s="43"/>
      <c r="C17" s="77">
        <v>0.75</v>
      </c>
      <c r="D17" s="83" cm="1">
        <f t="array" aca="1" ref="D17" ca="1">INDIRECT("D"&amp;34*$C$1+17)</f>
        <v>5660.9649862831602</v>
      </c>
      <c r="E17" s="83" cm="1">
        <f t="array" aca="1" ref="E17" ca="1">INDIRECT("E"&amp;34*$C$1+17)</f>
        <v>6756.4387812790001</v>
      </c>
      <c r="F17" s="83" cm="1">
        <f t="array" aca="1" ref="F17" ca="1">INDIRECT("F"&amp;34*$C$1+17)</f>
        <v>7851.9125762748499</v>
      </c>
      <c r="G17" s="83" cm="1">
        <f t="array" aca="1" ref="G17" ca="1">INDIRECT("G"&amp;34*$C$1+17)</f>
        <v>8205.6637642147489</v>
      </c>
      <c r="H17" s="83" cm="1">
        <f t="array" aca="1" ref="H17" ca="1">INDIRECT("H"&amp;34*$C$1+17)</f>
        <v>8559.4149521546587</v>
      </c>
      <c r="I17" s="83" cm="1">
        <f t="array" aca="1" ref="I17" ca="1">INDIRECT("I"&amp;34*$C$1+17)</f>
        <v>8579.3383063637393</v>
      </c>
      <c r="J17" s="83" cm="1">
        <f t="array" aca="1" ref="J17" ca="1">INDIRECT("J"&amp;34*$C$1+17)</f>
        <v>8599.2616605728199</v>
      </c>
      <c r="K17" s="83" cm="1">
        <f t="array" aca="1" ref="K17" ca="1">INDIRECT("K"&amp;34*$C$1+17)</f>
        <v>8359.2931367564797</v>
      </c>
      <c r="L17" s="83" cm="1">
        <f t="array" aca="1" ref="L17" ca="1">INDIRECT("L"&amp;34*$C$1+17)</f>
        <v>8119.3246129401296</v>
      </c>
      <c r="M17" s="83" cm="1">
        <f t="array" aca="1" ref="M17" ca="1">INDIRECT("M"&amp;34*$C$1+17)</f>
        <v>7684.4194592487793</v>
      </c>
      <c r="N17" s="83" cm="1">
        <f t="array" aca="1" ref="N17" ca="1">INDIRECT("N"&amp;34*$C$1+17)</f>
        <v>7249.5143055574299</v>
      </c>
      <c r="O17" s="83" cm="1">
        <f t="array" aca="1" ref="O17" ca="1">INDIRECT("O"&amp;34*$C$1+17)</f>
        <v>6416.8717176617201</v>
      </c>
      <c r="P17" s="83" cm="1">
        <f t="array" aca="1" ref="P17" ca="1">INDIRECT("P"&amp;34*$C$1+17)</f>
        <v>5584.2291297660104</v>
      </c>
      <c r="Q17" s="83" cm="1">
        <f t="array" aca="1" ref="Q17" ca="1">INDIRECT("Q"&amp;34*$C$1+17)</f>
        <v>4835.0828903961001</v>
      </c>
      <c r="R17" s="83" cm="1">
        <f t="array" aca="1" ref="R17" ca="1">INDIRECT("R"&amp;34*$C$1+17)</f>
        <v>4085.9366510261798</v>
      </c>
      <c r="S17" s="83" cm="1">
        <f t="array" aca="1" ref="S17" ca="1">INDIRECT("S"&amp;34*$C$1+17)</f>
        <v>0</v>
      </c>
    </row>
    <row r="18" spans="2:19" x14ac:dyDescent="0.3">
      <c r="B18" s="43"/>
      <c r="C18" s="77">
        <v>1.25</v>
      </c>
      <c r="D18" s="83" cm="1">
        <f t="array" aca="1" ref="D18" ca="1">INDIRECT("D"&amp;34*$C$1+18)</f>
        <v>10963.878976038201</v>
      </c>
      <c r="E18" s="83" cm="1">
        <f t="array" aca="1" ref="E18" ca="1">INDIRECT("E"&amp;34*$C$1+18)</f>
        <v>13031.772421923501</v>
      </c>
      <c r="F18" s="83" cm="1">
        <f t="array" aca="1" ref="F18" ca="1">INDIRECT("F"&amp;34*$C$1+18)</f>
        <v>15099.665867808901</v>
      </c>
      <c r="G18" s="83" cm="1">
        <f t="array" aca="1" ref="G18" ca="1">INDIRECT("G"&amp;34*$C$1+18)</f>
        <v>15780.644417854599</v>
      </c>
      <c r="H18" s="83" cm="1">
        <f t="array" aca="1" ref="H18" ca="1">INDIRECT("H"&amp;34*$C$1+18)</f>
        <v>16461.622967900399</v>
      </c>
      <c r="I18" s="83" cm="1">
        <f t="array" aca="1" ref="I18" ca="1">INDIRECT("I"&amp;34*$C$1+18)</f>
        <v>16530.167509207</v>
      </c>
      <c r="J18" s="83" cm="1">
        <f t="array" aca="1" ref="J18" ca="1">INDIRECT("J"&amp;34*$C$1+18)</f>
        <v>16598.712050513601</v>
      </c>
      <c r="K18" s="83" cm="1">
        <f t="array" aca="1" ref="K18" ca="1">INDIRECT("K"&amp;34*$C$1+18)</f>
        <v>16115.804845309398</v>
      </c>
      <c r="L18" s="83" cm="1">
        <f t="array" aca="1" ref="L18" ca="1">INDIRECT("L"&amp;34*$C$1+18)</f>
        <v>15632.897640105301</v>
      </c>
      <c r="M18" s="83" cm="1">
        <f t="array" aca="1" ref="M18" ca="1">INDIRECT("M"&amp;34*$C$1+18)</f>
        <v>14797.130610976299</v>
      </c>
      <c r="N18" s="83" cm="1">
        <f t="array" aca="1" ref="N18" ca="1">INDIRECT("N"&amp;34*$C$1+18)</f>
        <v>13961.363581847199</v>
      </c>
      <c r="O18" s="83" cm="1">
        <f t="array" aca="1" ref="O18" ca="1">INDIRECT("O"&amp;34*$C$1+18)</f>
        <v>12342.790039456198</v>
      </c>
      <c r="P18" s="83" cm="1">
        <f t="array" aca="1" ref="P18" ca="1">INDIRECT("P"&amp;34*$C$1+18)</f>
        <v>10724.216497065199</v>
      </c>
      <c r="Q18" s="83" cm="1">
        <f t="array" aca="1" ref="Q18" ca="1">INDIRECT("Q"&amp;34*$C$1+18)</f>
        <v>9262.1521845385396</v>
      </c>
      <c r="R18" s="83" cm="1">
        <f t="array" aca="1" ref="R18" ca="1">INDIRECT("R"&amp;34*$C$1+18)</f>
        <v>7800.0878720119299</v>
      </c>
      <c r="S18" s="83" cm="1">
        <f t="array" aca="1" ref="S18" ca="1">INDIRECT("S"&amp;34*$C$1+18)</f>
        <v>0</v>
      </c>
    </row>
    <row r="19" spans="2:19" x14ac:dyDescent="0.3">
      <c r="B19" s="43"/>
      <c r="C19" s="77">
        <v>1.75</v>
      </c>
      <c r="D19" s="83" cm="1">
        <f t="array" aca="1" ref="D19" ca="1">INDIRECT("D"&amp;34*$C$1+19)</f>
        <v>21814.064305467698</v>
      </c>
      <c r="E19" s="83" cm="1">
        <f t="array" aca="1" ref="E19" ca="1">INDIRECT("E"&amp;34*$C$1+19)</f>
        <v>26770.610747001603</v>
      </c>
      <c r="F19" s="83" cm="1">
        <f t="array" aca="1" ref="F19" ca="1">INDIRECT("F"&amp;34*$C$1+19)</f>
        <v>31727.157188535501</v>
      </c>
      <c r="G19" s="83" cm="1">
        <f t="array" aca="1" ref="G19" ca="1">INDIRECT("G"&amp;34*$C$1+19)</f>
        <v>33389.877372544295</v>
      </c>
      <c r="H19" s="83" cm="1">
        <f t="array" aca="1" ref="H19" ca="1">INDIRECT("H"&amp;34*$C$1+19)</f>
        <v>35052.597556553003</v>
      </c>
      <c r="I19" s="83" cm="1">
        <f t="array" aca="1" ref="I19" ca="1">INDIRECT("I"&amp;34*$C$1+19)</f>
        <v>35051.493042639995</v>
      </c>
      <c r="J19" s="83" cm="1">
        <f t="array" aca="1" ref="J19" ca="1">INDIRECT("J"&amp;34*$C$1+19)</f>
        <v>35050.3885287269</v>
      </c>
      <c r="K19" s="83" cm="1">
        <f t="array" aca="1" ref="K19" ca="1">INDIRECT("K"&amp;34*$C$1+19)</f>
        <v>31675.890052462801</v>
      </c>
      <c r="L19" s="83" cm="1">
        <f t="array" aca="1" ref="L19" ca="1">INDIRECT("L"&amp;34*$C$1+19)</f>
        <v>28301.391576198599</v>
      </c>
      <c r="M19" s="83" cm="1">
        <f t="array" aca="1" ref="M19" ca="1">INDIRECT("M"&amp;34*$C$1+19)</f>
        <v>28231.179153598099</v>
      </c>
      <c r="N19" s="83" cm="1">
        <f t="array" aca="1" ref="N19" ca="1">INDIRECT("N"&amp;34*$C$1+19)</f>
        <v>28160.966730997701</v>
      </c>
      <c r="O19" s="83" cm="1">
        <f t="array" aca="1" ref="O19" ca="1">INDIRECT("O"&amp;34*$C$1+19)</f>
        <v>23275.126162422799</v>
      </c>
      <c r="P19" s="83" cm="1">
        <f t="array" aca="1" ref="P19" ca="1">INDIRECT("P"&amp;34*$C$1+19)</f>
        <v>18389.285593848002</v>
      </c>
      <c r="Q19" s="83" cm="1">
        <f t="array" aca="1" ref="Q19" ca="1">INDIRECT("Q"&amp;34*$C$1+19)</f>
        <v>18467.098860891198</v>
      </c>
      <c r="R19" s="83" cm="1">
        <f t="array" aca="1" ref="R19" ca="1">INDIRECT("R"&amp;34*$C$1+19)</f>
        <v>18544.9121279344</v>
      </c>
      <c r="S19" s="83" cm="1">
        <f t="array" aca="1" ref="S19" ca="1">INDIRECT("S"&amp;34*$C$1+19)</f>
        <v>0</v>
      </c>
    </row>
    <row r="20" spans="2:19" x14ac:dyDescent="0.3">
      <c r="B20" s="43"/>
      <c r="C20" s="77">
        <v>2.25</v>
      </c>
      <c r="D20" s="83" cm="1">
        <f t="array" aca="1" ref="D20" ca="1">INDIRECT("D"&amp;34*$C$1+20)</f>
        <v>32664.249634897202</v>
      </c>
      <c r="E20" s="83" cm="1">
        <f t="array" aca="1" ref="E20" ca="1">INDIRECT("E"&amp;34*$C$1+20)</f>
        <v>40509.449072079697</v>
      </c>
      <c r="F20" s="83" cm="1">
        <f t="array" aca="1" ref="F20" ca="1">INDIRECT("F"&amp;34*$C$1+20)</f>
        <v>48354.648509262101</v>
      </c>
      <c r="G20" s="83" cm="1">
        <f t="array" aca="1" ref="G20" ca="1">INDIRECT("G"&amp;34*$C$1+20)</f>
        <v>50999.110327233902</v>
      </c>
      <c r="H20" s="83" cm="1">
        <f t="array" aca="1" ref="H20" ca="1">INDIRECT("H"&amp;34*$C$1+20)</f>
        <v>53643.572145205602</v>
      </c>
      <c r="I20" s="83" cm="1">
        <f t="array" aca="1" ref="I20" ca="1">INDIRECT("I"&amp;34*$C$1+20)</f>
        <v>53572.818576072998</v>
      </c>
      <c r="J20" s="83" cm="1">
        <f t="array" aca="1" ref="J20" ca="1">INDIRECT("J"&amp;34*$C$1+20)</f>
        <v>53502.065006940298</v>
      </c>
      <c r="K20" s="83" cm="1">
        <f t="array" aca="1" ref="K20" ca="1">INDIRECT("K"&amp;34*$C$1+20)</f>
        <v>47235.975259616098</v>
      </c>
      <c r="L20" s="83" cm="1">
        <f t="array" aca="1" ref="L20" ca="1">INDIRECT("L"&amp;34*$C$1+20)</f>
        <v>40969.885512291999</v>
      </c>
      <c r="M20" s="83" cm="1">
        <f t="array" aca="1" ref="M20" ca="1">INDIRECT("M"&amp;34*$C$1+20)</f>
        <v>41665.227696219998</v>
      </c>
      <c r="N20" s="83" cm="1">
        <f t="array" aca="1" ref="N20" ca="1">INDIRECT("N"&amp;34*$C$1+20)</f>
        <v>42360.569880148098</v>
      </c>
      <c r="O20" s="83" cm="1">
        <f t="array" aca="1" ref="O20" ca="1">INDIRECT("O"&amp;34*$C$1+20)</f>
        <v>34207.462285389498</v>
      </c>
      <c r="P20" s="83" cm="1">
        <f t="array" aca="1" ref="P20" ca="1">INDIRECT("P"&amp;34*$C$1+20)</f>
        <v>26054.354690630898</v>
      </c>
      <c r="Q20" s="83" cm="1">
        <f t="array" aca="1" ref="Q20" ca="1">INDIRECT("Q"&amp;34*$C$1+20)</f>
        <v>27672.045537243899</v>
      </c>
      <c r="R20" s="83" cm="1">
        <f t="array" aca="1" ref="R20" ca="1">INDIRECT("R"&amp;34*$C$1+20)</f>
        <v>29289.736383857002</v>
      </c>
      <c r="S20" s="83" cm="1">
        <f t="array" aca="1" ref="S20" ca="1">INDIRECT("S"&amp;34*$C$1+20)</f>
        <v>0</v>
      </c>
    </row>
    <row r="21" spans="2:19" x14ac:dyDescent="0.3">
      <c r="B21" s="43"/>
      <c r="C21" s="77">
        <v>2.75</v>
      </c>
      <c r="D21" s="83" cm="1">
        <f t="array" aca="1" ref="D21" ca="1">INDIRECT("D"&amp;34*$C$1+21)</f>
        <v>49240.3737661177</v>
      </c>
      <c r="E21" s="83" cm="1">
        <f t="array" aca="1" ref="E21" ca="1">INDIRECT("E"&amp;34*$C$1+21)</f>
        <v>62262.173129356801</v>
      </c>
      <c r="F21" s="83" cm="1">
        <f t="array" aca="1" ref="F21" ca="1">INDIRECT("F"&amp;34*$C$1+21)</f>
        <v>75283.972492595887</v>
      </c>
      <c r="G21" s="83" cm="1">
        <f t="array" aca="1" ref="G21" ca="1">INDIRECT("G"&amp;34*$C$1+21)</f>
        <v>73970.340777819903</v>
      </c>
      <c r="H21" s="83" cm="1">
        <f t="array" aca="1" ref="H21" ca="1">INDIRECT("H"&amp;34*$C$1+21)</f>
        <v>72656.709063044007</v>
      </c>
      <c r="I21" s="83" cm="1">
        <f t="array" aca="1" ref="I21" ca="1">INDIRECT("I"&amp;34*$C$1+21)</f>
        <v>75011.460775565691</v>
      </c>
      <c r="J21" s="83" cm="1">
        <f t="array" aca="1" ref="J21" ca="1">INDIRECT("J"&amp;34*$C$1+21)</f>
        <v>77366.212488087505</v>
      </c>
      <c r="K21" s="83" cm="1">
        <f t="array" aca="1" ref="K21" ca="1">INDIRECT("K"&amp;34*$C$1+21)</f>
        <v>74232.984702724396</v>
      </c>
      <c r="L21" s="83" cm="1">
        <f t="array" aca="1" ref="L21" ca="1">INDIRECT("L"&amp;34*$C$1+21)</f>
        <v>71099.756917361199</v>
      </c>
      <c r="M21" s="83" cm="1">
        <f t="array" aca="1" ref="M21" ca="1">INDIRECT("M"&amp;34*$C$1+21)</f>
        <v>65001.125725955804</v>
      </c>
      <c r="N21" s="83" cm="1">
        <f t="array" aca="1" ref="N21" ca="1">INDIRECT("N"&amp;34*$C$1+21)</f>
        <v>58902.4945345503</v>
      </c>
      <c r="O21" s="83" cm="1">
        <f t="array" aca="1" ref="O21" ca="1">INDIRECT("O"&amp;34*$C$1+21)</f>
        <v>51322.6708239988</v>
      </c>
      <c r="P21" s="83" cm="1">
        <f t="array" aca="1" ref="P21" ca="1">INDIRECT("P"&amp;34*$C$1+21)</f>
        <v>43742.8471134473</v>
      </c>
      <c r="Q21" s="83" cm="1">
        <f t="array" aca="1" ref="Q21" ca="1">INDIRECT("Q"&amp;34*$C$1+21)</f>
        <v>40289.464164272096</v>
      </c>
      <c r="R21" s="83" cm="1">
        <f t="array" aca="1" ref="R21" ca="1">INDIRECT("R"&amp;34*$C$1+21)</f>
        <v>36836.0812150969</v>
      </c>
      <c r="S21" s="83" cm="1">
        <f t="array" aca="1" ref="S21" ca="1">INDIRECT("S"&amp;34*$C$1+21)</f>
        <v>0</v>
      </c>
    </row>
    <row r="22" spans="2:19" x14ac:dyDescent="0.3">
      <c r="B22" s="43"/>
      <c r="C22" s="77">
        <v>3.25</v>
      </c>
      <c r="D22" s="83" cm="1">
        <f t="array" aca="1" ref="D22" ca="1">INDIRECT("D"&amp;34*$C$1+22)</f>
        <v>65816.497897338093</v>
      </c>
      <c r="E22" s="83" cm="1">
        <f t="array" aca="1" ref="E22" ca="1">INDIRECT("E"&amp;34*$C$1+22)</f>
        <v>84014.897186633796</v>
      </c>
      <c r="F22" s="83" cm="1">
        <f t="array" aca="1" ref="F22" ca="1">INDIRECT("F"&amp;34*$C$1+22)</f>
        <v>102213.29647592999</v>
      </c>
      <c r="G22" s="83" cm="1">
        <f t="array" aca="1" ref="G22" ca="1">INDIRECT("G"&amp;34*$C$1+22)</f>
        <v>96941.571228405999</v>
      </c>
      <c r="H22" s="83" cm="1">
        <f t="array" aca="1" ref="H22" ca="1">INDIRECT("H"&amp;34*$C$1+22)</f>
        <v>91669.845980882295</v>
      </c>
      <c r="I22" s="83" cm="1">
        <f t="array" aca="1" ref="I22" ca="1">INDIRECT("I"&amp;34*$C$1+22)</f>
        <v>96450.1029750585</v>
      </c>
      <c r="J22" s="83" cm="1">
        <f t="array" aca="1" ref="J22" ca="1">INDIRECT("J"&amp;34*$C$1+22)</f>
        <v>101230.359969235</v>
      </c>
      <c r="K22" s="83" cm="1">
        <f t="array" aca="1" ref="K22" ca="1">INDIRECT("K"&amp;34*$C$1+22)</f>
        <v>101229.994145833</v>
      </c>
      <c r="L22" s="83" cm="1">
        <f t="array" aca="1" ref="L22" ca="1">INDIRECT("L"&amp;34*$C$1+22)</f>
        <v>101229.628322431</v>
      </c>
      <c r="M22" s="83" cm="1">
        <f t="array" aca="1" ref="M22" ca="1">INDIRECT("M"&amp;34*$C$1+22)</f>
        <v>88337.023755691509</v>
      </c>
      <c r="N22" s="83" cm="1">
        <f t="array" aca="1" ref="N22" ca="1">INDIRECT("N"&amp;34*$C$1+22)</f>
        <v>75444.419188952495</v>
      </c>
      <c r="O22" s="83" cm="1">
        <f t="array" aca="1" ref="O22" ca="1">INDIRECT("O"&amp;34*$C$1+22)</f>
        <v>68437.879362608204</v>
      </c>
      <c r="P22" s="83" cm="1">
        <f t="array" aca="1" ref="P22" ca="1">INDIRECT("P"&amp;34*$C$1+22)</f>
        <v>61431.339536263797</v>
      </c>
      <c r="Q22" s="83" cm="1">
        <f t="array" aca="1" ref="Q22" ca="1">INDIRECT("Q"&amp;34*$C$1+22)</f>
        <v>52906.882791300297</v>
      </c>
      <c r="R22" s="83" cm="1">
        <f t="array" aca="1" ref="R22" ca="1">INDIRECT("R"&amp;34*$C$1+22)</f>
        <v>44382.426046336805</v>
      </c>
      <c r="S22" s="83" cm="1">
        <f t="array" aca="1" ref="S22" ca="1">INDIRECT("S"&amp;34*$C$1+22)</f>
        <v>0</v>
      </c>
    </row>
    <row r="23" spans="2:19" x14ac:dyDescent="0.3">
      <c r="B23" s="43"/>
      <c r="C23" s="77">
        <v>3.75</v>
      </c>
      <c r="D23" s="83" cm="1">
        <f t="array" aca="1" ref="D23" ca="1">INDIRECT("D"&amp;34*$C$1+23)</f>
        <v>87849.672171573402</v>
      </c>
      <c r="E23" s="83" cm="1">
        <f t="array" aca="1" ref="E23" ca="1">INDIRECT("E"&amp;34*$C$1+23)</f>
        <v>109538.04479206601</v>
      </c>
      <c r="F23" s="83" cm="1">
        <f t="array" aca="1" ref="F23" ca="1">INDIRECT("F"&amp;34*$C$1+23)</f>
        <v>131226.41741255898</v>
      </c>
      <c r="G23" s="83" cm="1">
        <f t="array" aca="1" ref="G23" ca="1">INDIRECT("G"&amp;34*$C$1+23)</f>
        <v>140289.16788613901</v>
      </c>
      <c r="H23" s="83" cm="1">
        <f t="array" aca="1" ref="H23" ca="1">INDIRECT("H"&amp;34*$C$1+23)</f>
        <v>149351.91835971901</v>
      </c>
      <c r="I23" s="83" cm="1">
        <f t="array" aca="1" ref="I23" ca="1">INDIRECT("I"&amp;34*$C$1+23)</f>
        <v>149365.087906612</v>
      </c>
      <c r="J23" s="83" cm="1">
        <f t="array" aca="1" ref="J23" ca="1">INDIRECT("J"&amp;34*$C$1+23)</f>
        <v>149378.25745350501</v>
      </c>
      <c r="K23" s="83" cm="1">
        <f t="array" aca="1" ref="K23" ca="1">INDIRECT("K"&amp;34*$C$1+23)</f>
        <v>138030.56405045101</v>
      </c>
      <c r="L23" s="83" cm="1">
        <f t="array" aca="1" ref="L23" ca="1">INDIRECT("L"&amp;34*$C$1+23)</f>
        <v>126682.87064739699</v>
      </c>
      <c r="M23" s="83" cm="1">
        <f t="array" aca="1" ref="M23" ca="1">INDIRECT("M"&amp;34*$C$1+23)</f>
        <v>121538.291085048</v>
      </c>
      <c r="N23" s="83" cm="1">
        <f t="array" aca="1" ref="N23" ca="1">INDIRECT("N"&amp;34*$C$1+23)</f>
        <v>116393.7115227</v>
      </c>
      <c r="O23" s="83" cm="1">
        <f t="array" aca="1" ref="O23" ca="1">INDIRECT("O"&amp;34*$C$1+23)</f>
        <v>103692.96819748099</v>
      </c>
      <c r="P23" s="83" cm="1">
        <f t="array" aca="1" ref="P23" ca="1">INDIRECT("P"&amp;34*$C$1+23)</f>
        <v>90992.22487226341</v>
      </c>
      <c r="Q23" s="83" cm="1">
        <f t="array" aca="1" ref="Q23" ca="1">INDIRECT("Q"&amp;34*$C$1+23)</f>
        <v>82310.152960307809</v>
      </c>
      <c r="R23" s="83" cm="1">
        <f t="array" aca="1" ref="R23" ca="1">INDIRECT("R"&amp;34*$C$1+23)</f>
        <v>73628.081048352295</v>
      </c>
      <c r="S23" s="83" cm="1">
        <f t="array" aca="1" ref="S23" ca="1">INDIRECT("S"&amp;34*$C$1+23)</f>
        <v>0</v>
      </c>
    </row>
    <row r="24" spans="2:19" x14ac:dyDescent="0.3">
      <c r="B24" s="43"/>
      <c r="C24" s="77">
        <v>4.25</v>
      </c>
      <c r="D24" s="83" cm="1">
        <f t="array" aca="1" ref="D24" ca="1">INDIRECT("D"&amp;34*$C$1+24)</f>
        <v>109882.84644580899</v>
      </c>
      <c r="E24" s="83" cm="1">
        <f t="array" aca="1" ref="E24" ca="1">INDIRECT("E"&amp;34*$C$1+24)</f>
        <v>135061.192397498</v>
      </c>
      <c r="F24" s="83" cm="1">
        <f t="array" aca="1" ref="F24" ca="1">INDIRECT("F"&amp;34*$C$1+24)</f>
        <v>160239.53834918799</v>
      </c>
      <c r="G24" s="83" cm="1">
        <f t="array" aca="1" ref="G24" ca="1">INDIRECT("G"&amp;34*$C$1+24)</f>
        <v>183636.76454387201</v>
      </c>
      <c r="H24" s="83" cm="1">
        <f t="array" aca="1" ref="H24" ca="1">INDIRECT("H"&amp;34*$C$1+24)</f>
        <v>207033.99073855602</v>
      </c>
      <c r="I24" s="83" cm="1">
        <f t="array" aca="1" ref="I24" ca="1">INDIRECT("I"&amp;34*$C$1+24)</f>
        <v>202280.072838166</v>
      </c>
      <c r="J24" s="83" cm="1">
        <f t="array" aca="1" ref="J24" ca="1">INDIRECT("J"&amp;34*$C$1+24)</f>
        <v>197526.15493777499</v>
      </c>
      <c r="K24" s="83" cm="1">
        <f t="array" aca="1" ref="K24" ca="1">INDIRECT("K"&amp;34*$C$1+24)</f>
        <v>174831.13395506999</v>
      </c>
      <c r="L24" s="83" cm="1">
        <f t="array" aca="1" ref="L24" ca="1">INDIRECT("L"&amp;34*$C$1+24)</f>
        <v>152136.112972364</v>
      </c>
      <c r="M24" s="83" cm="1">
        <f t="array" aca="1" ref="M24" ca="1">INDIRECT("M"&amp;34*$C$1+24)</f>
        <v>154739.55841440501</v>
      </c>
      <c r="N24" s="83" cm="1">
        <f t="array" aca="1" ref="N24" ca="1">INDIRECT("N"&amp;34*$C$1+24)</f>
        <v>157343.003856447</v>
      </c>
      <c r="O24" s="83" cm="1">
        <f t="array" aca="1" ref="O24" ca="1">INDIRECT("O"&amp;34*$C$1+24)</f>
        <v>138948.05703235499</v>
      </c>
      <c r="P24" s="83" cm="1">
        <f t="array" aca="1" ref="P24" ca="1">INDIRECT("P"&amp;34*$C$1+24)</f>
        <v>120553.11020826301</v>
      </c>
      <c r="Q24" s="83" cm="1">
        <f t="array" aca="1" ref="Q24" ca="1">INDIRECT("Q"&amp;34*$C$1+24)</f>
        <v>111713.42312931501</v>
      </c>
      <c r="R24" s="83" cm="1">
        <f t="array" aca="1" ref="R24" ca="1">INDIRECT("R"&amp;34*$C$1+24)</f>
        <v>102873.736050368</v>
      </c>
      <c r="S24" s="83" cm="1">
        <f t="array" aca="1" ref="S24" ca="1">INDIRECT("S"&amp;34*$C$1+24)</f>
        <v>0</v>
      </c>
    </row>
    <row r="25" spans="2:19" x14ac:dyDescent="0.3">
      <c r="B25" s="43"/>
      <c r="C25" s="77">
        <v>4.75</v>
      </c>
      <c r="D25" s="83" cm="1">
        <f t="array" aca="1" ref="D25" ca="1">INDIRECT("D"&amp;34*$C$1+25)</f>
        <v>131088.396335319</v>
      </c>
      <c r="E25" s="83" cm="1">
        <f t="array" aca="1" ref="E25" ca="1">INDIRECT("E"&amp;34*$C$1+25)</f>
        <v>166896.109049497</v>
      </c>
      <c r="F25" s="83" cm="1">
        <f t="array" aca="1" ref="F25" ca="1">INDIRECT("F"&amp;34*$C$1+25)</f>
        <v>202703.82176367499</v>
      </c>
      <c r="G25" s="83" cm="1">
        <f t="array" aca="1" ref="G25" ca="1">INDIRECT("G"&amp;34*$C$1+25)</f>
        <v>223988.088104889</v>
      </c>
      <c r="H25" s="83" cm="1">
        <f t="array" aca="1" ref="H25" ca="1">INDIRECT("H"&amp;34*$C$1+25)</f>
        <v>245272.35444610202</v>
      </c>
      <c r="I25" s="83" cm="1">
        <f t="array" aca="1" ref="I25" ca="1">INDIRECT("I"&amp;34*$C$1+25)</f>
        <v>247387.628026552</v>
      </c>
      <c r="J25" s="83" cm="1">
        <f t="array" aca="1" ref="J25" ca="1">INDIRECT("J"&amp;34*$C$1+25)</f>
        <v>249502.90160700202</v>
      </c>
      <c r="K25" s="83" cm="1">
        <f t="array" aca="1" ref="K25" ca="1">INDIRECT("K"&amp;34*$C$1+25)</f>
        <v>229135.54240054099</v>
      </c>
      <c r="L25" s="83" cm="1">
        <f t="array" aca="1" ref="L25" ca="1">INDIRECT("L"&amp;34*$C$1+25)</f>
        <v>208768.18319408098</v>
      </c>
      <c r="M25" s="83" cm="1">
        <f t="array" aca="1" ref="M25" ca="1">INDIRECT("M"&amp;34*$C$1+25)</f>
        <v>212602.31202082301</v>
      </c>
      <c r="N25" s="83" cm="1">
        <f t="array" aca="1" ref="N25" ca="1">INDIRECT("N"&amp;34*$C$1+25)</f>
        <v>216436.44084756498</v>
      </c>
      <c r="O25" s="83" cm="1">
        <f t="array" aca="1" ref="O25" ca="1">INDIRECT("O"&amp;34*$C$1+25)</f>
        <v>186150.05010225301</v>
      </c>
      <c r="P25" s="83" cm="1">
        <f t="array" aca="1" ref="P25" ca="1">INDIRECT("P"&amp;34*$C$1+25)</f>
        <v>155863.65935694202</v>
      </c>
      <c r="Q25" s="83" cm="1">
        <f t="array" aca="1" ref="Q25" ca="1">INDIRECT("Q"&amp;34*$C$1+25)</f>
        <v>135479.891608534</v>
      </c>
      <c r="R25" s="83" cm="1">
        <f t="array" aca="1" ref="R25" ca="1">INDIRECT("R"&amp;34*$C$1+25)</f>
        <v>115096.12386012501</v>
      </c>
      <c r="S25" s="83" cm="1">
        <f t="array" aca="1" ref="S25" ca="1">INDIRECT("S"&amp;34*$C$1+25)</f>
        <v>0</v>
      </c>
    </row>
    <row r="26" spans="2:19" x14ac:dyDescent="0.3">
      <c r="B26" s="43"/>
      <c r="C26" s="77">
        <v>5.25</v>
      </c>
      <c r="D26" s="83" cm="1">
        <f t="array" aca="1" ref="D26" ca="1">INDIRECT("D"&amp;34*$C$1+26)</f>
        <v>152293.94622483</v>
      </c>
      <c r="E26" s="83" cm="1">
        <f t="array" aca="1" ref="E26" ca="1">INDIRECT("E"&amp;34*$C$1+26)</f>
        <v>198731.02570149701</v>
      </c>
      <c r="F26" s="83" cm="1">
        <f t="array" aca="1" ref="F26" ca="1">INDIRECT("F"&amp;34*$C$1+26)</f>
        <v>245168.10517816298</v>
      </c>
      <c r="G26" s="83" cm="1">
        <f t="array" aca="1" ref="G26" ca="1">INDIRECT("G"&amp;34*$C$1+26)</f>
        <v>264339.41166590498</v>
      </c>
      <c r="H26" s="83" cm="1">
        <f t="array" aca="1" ref="H26" ca="1">INDIRECT("H"&amp;34*$C$1+26)</f>
        <v>283510.71815364703</v>
      </c>
      <c r="I26" s="83" cm="1">
        <f t="array" aca="1" ref="I26" ca="1">INDIRECT("I"&amp;34*$C$1+26)</f>
        <v>292495.18321493699</v>
      </c>
      <c r="J26" s="83" cm="1">
        <f t="array" aca="1" ref="J26" ca="1">INDIRECT("J"&amp;34*$C$1+26)</f>
        <v>301479.64827622799</v>
      </c>
      <c r="K26" s="83" cm="1">
        <f t="array" aca="1" ref="K26" ca="1">INDIRECT("K"&amp;34*$C$1+26)</f>
        <v>283439.95084601303</v>
      </c>
      <c r="L26" s="83" cm="1">
        <f t="array" aca="1" ref="L26" ca="1">INDIRECT("L"&amp;34*$C$1+26)</f>
        <v>265400.253415799</v>
      </c>
      <c r="M26" s="83" cm="1">
        <f t="array" aca="1" ref="M26" ca="1">INDIRECT("M"&amp;34*$C$1+26)</f>
        <v>270465.06562724104</v>
      </c>
      <c r="N26" s="83" cm="1">
        <f t="array" aca="1" ref="N26" ca="1">INDIRECT("N"&amp;34*$C$1+26)</f>
        <v>275529.87783868297</v>
      </c>
      <c r="O26" s="83" cm="1">
        <f t="array" aca="1" ref="O26" ca="1">INDIRECT("O"&amp;34*$C$1+26)</f>
        <v>233352.04317215201</v>
      </c>
      <c r="P26" s="83" cm="1">
        <f t="array" aca="1" ref="P26" ca="1">INDIRECT("P"&amp;34*$C$1+26)</f>
        <v>191174.20850562101</v>
      </c>
      <c r="Q26" s="83" cm="1">
        <f t="array" aca="1" ref="Q26" ca="1">INDIRECT("Q"&amp;34*$C$1+26)</f>
        <v>159246.36008775202</v>
      </c>
      <c r="R26" s="83" cm="1">
        <f t="array" aca="1" ref="R26" ca="1">INDIRECT("R"&amp;34*$C$1+26)</f>
        <v>127318.511669883</v>
      </c>
      <c r="S26" s="83" cm="1">
        <f t="array" aca="1" ref="S26" ca="1">INDIRECT("S"&amp;34*$C$1+26)</f>
        <v>0</v>
      </c>
    </row>
    <row r="27" spans="2:19" x14ac:dyDescent="0.3">
      <c r="B27" s="43"/>
      <c r="C27" s="77">
        <v>5.75</v>
      </c>
      <c r="D27" s="83" cm="1">
        <f t="array" aca="1" ref="D27" ca="1">INDIRECT("D"&amp;34*$C$1+27)</f>
        <v>204323.84867556399</v>
      </c>
      <c r="E27" s="83" cm="1">
        <f t="array" aca="1" ref="E27" ca="1">INDIRECT("E"&amp;34*$C$1+27)</f>
        <v>255444.87930488901</v>
      </c>
      <c r="F27" s="83" cm="1">
        <f t="array" aca="1" ref="F27" ca="1">INDIRECT("F"&amp;34*$C$1+27)</f>
        <v>306565.90993421403</v>
      </c>
      <c r="G27" s="83" cm="1">
        <f t="array" aca="1" ref="G27" ca="1">INDIRECT("G"&amp;34*$C$1+27)</f>
        <v>332242.78318735299</v>
      </c>
      <c r="H27" s="83" cm="1">
        <f t="array" aca="1" ref="H27" ca="1">INDIRECT("H"&amp;34*$C$1+27)</f>
        <v>357919.65644049301</v>
      </c>
      <c r="I27" s="83" cm="1">
        <f t="array" aca="1" ref="I27" ca="1">INDIRECT("I"&amp;34*$C$1+27)</f>
        <v>366183.636578076</v>
      </c>
      <c r="J27" s="83" cm="1">
        <f t="array" aca="1" ref="J27" ca="1">INDIRECT("J"&amp;34*$C$1+27)</f>
        <v>374447.61671565997</v>
      </c>
      <c r="K27" s="83" cm="1">
        <f t="array" aca="1" ref="K27" ca="1">INDIRECT("K"&amp;34*$C$1+27)</f>
        <v>340266.57967528305</v>
      </c>
      <c r="L27" s="83" cm="1">
        <f t="array" aca="1" ref="L27" ca="1">INDIRECT("L"&amp;34*$C$1+27)</f>
        <v>306085.54263490695</v>
      </c>
      <c r="M27" s="83" cm="1">
        <f t="array" aca="1" ref="M27" ca="1">INDIRECT("M"&amp;34*$C$1+27)</f>
        <v>308807.54017381702</v>
      </c>
      <c r="N27" s="83" cm="1">
        <f t="array" aca="1" ref="N27" ca="1">INDIRECT("N"&amp;34*$C$1+27)</f>
        <v>311529.53771272599</v>
      </c>
      <c r="O27" s="83" cm="1">
        <f t="array" aca="1" ref="O27" ca="1">INDIRECT("O"&amp;34*$C$1+27)</f>
        <v>257271.82788717101</v>
      </c>
      <c r="P27" s="83" cm="1">
        <f t="array" aca="1" ref="P27" ca="1">INDIRECT("P"&amp;34*$C$1+27)</f>
        <v>203014.11806161498</v>
      </c>
      <c r="Q27" s="83" cm="1">
        <f t="array" aca="1" ref="Q27" ca="1">INDIRECT("Q"&amp;34*$C$1+27)</f>
        <v>181381.48674250301</v>
      </c>
      <c r="R27" s="83" cm="1">
        <f t="array" aca="1" ref="R27" ca="1">INDIRECT("R"&amp;34*$C$1+27)</f>
        <v>159748.85542339002</v>
      </c>
      <c r="S27" s="83" cm="1">
        <f t="array" aca="1" ref="S27" ca="1">INDIRECT("S"&amp;34*$C$1+27)</f>
        <v>0</v>
      </c>
    </row>
    <row r="28" spans="2:19" x14ac:dyDescent="0.3">
      <c r="B28" s="43"/>
      <c r="C28" s="77">
        <v>6.25</v>
      </c>
      <c r="D28" s="83" cm="1">
        <f t="array" aca="1" ref="D28" ca="1">INDIRECT("D"&amp;34*$C$1+28)</f>
        <v>256353.75112629798</v>
      </c>
      <c r="E28" s="83" cm="1">
        <f t="array" aca="1" ref="E28" ca="1">INDIRECT("E"&amp;34*$C$1+28)</f>
        <v>312158.73290828103</v>
      </c>
      <c r="F28" s="83" cm="1">
        <f t="array" aca="1" ref="F28" ca="1">INDIRECT("F"&amp;34*$C$1+28)</f>
        <v>367963.71469026402</v>
      </c>
      <c r="G28" s="83" cm="1">
        <f t="array" aca="1" ref="G28" ca="1">INDIRECT("G"&amp;34*$C$1+28)</f>
        <v>400146.154708802</v>
      </c>
      <c r="H28" s="83" cm="1">
        <f t="array" aca="1" ref="H28" ca="1">INDIRECT("H"&amp;34*$C$1+28)</f>
        <v>432328.59472733899</v>
      </c>
      <c r="I28" s="83" cm="1">
        <f t="array" aca="1" ref="I28" ca="1">INDIRECT("I"&amp;34*$C$1+28)</f>
        <v>439872.089941215</v>
      </c>
      <c r="J28" s="83" cm="1">
        <f t="array" aca="1" ref="J28" ca="1">INDIRECT("J"&amp;34*$C$1+28)</f>
        <v>447415.58515509201</v>
      </c>
      <c r="K28" s="83" cm="1">
        <f t="array" aca="1" ref="K28" ca="1">INDIRECT("K"&amp;34*$C$1+28)</f>
        <v>397093.20850455301</v>
      </c>
      <c r="L28" s="83" cm="1">
        <f t="array" aca="1" ref="L28" ca="1">INDIRECT("L"&amp;34*$C$1+28)</f>
        <v>346770.83185401501</v>
      </c>
      <c r="M28" s="83" cm="1">
        <f t="array" aca="1" ref="M28" ca="1">INDIRECT("M"&amp;34*$C$1+28)</f>
        <v>347150.01472039201</v>
      </c>
      <c r="N28" s="83" cm="1">
        <f t="array" aca="1" ref="N28" ca="1">INDIRECT("N"&amp;34*$C$1+28)</f>
        <v>347529.19758676999</v>
      </c>
      <c r="O28" s="83" cm="1">
        <f t="array" aca="1" ref="O28" ca="1">INDIRECT("O"&amp;34*$C$1+28)</f>
        <v>281191.61260219</v>
      </c>
      <c r="P28" s="83" cm="1">
        <f t="array" aca="1" ref="P28" ca="1">INDIRECT("P"&amp;34*$C$1+28)</f>
        <v>214854.02761761</v>
      </c>
      <c r="Q28" s="83" cm="1">
        <f t="array" aca="1" ref="Q28" ca="1">INDIRECT("Q"&amp;34*$C$1+28)</f>
        <v>203516.613397254</v>
      </c>
      <c r="R28" s="83" cm="1">
        <f t="array" aca="1" ref="R28" ca="1">INDIRECT("R"&amp;34*$C$1+28)</f>
        <v>192179.19917689697</v>
      </c>
      <c r="S28" s="83" cm="1">
        <f t="array" aca="1" ref="S28" ca="1">INDIRECT("S"&amp;34*$C$1+28)</f>
        <v>0</v>
      </c>
    </row>
    <row r="29" spans="2:19" x14ac:dyDescent="0.3">
      <c r="B29" s="43"/>
      <c r="C29" s="77">
        <v>6.75</v>
      </c>
      <c r="D29" s="83" cm="1">
        <f t="array" aca="1" ref="D29" ca="1">INDIRECT("D"&amp;34*$C$1+29)</f>
        <v>256353.75112629798</v>
      </c>
      <c r="E29" s="83" cm="1">
        <f t="array" aca="1" ref="E29" ca="1">INDIRECT("E"&amp;34*$C$1+29)</f>
        <v>312158.73290828103</v>
      </c>
      <c r="F29" s="83" cm="1">
        <f t="array" aca="1" ref="F29" ca="1">INDIRECT("F"&amp;34*$C$1+29)</f>
        <v>367963.71469026402</v>
      </c>
      <c r="G29" s="83" cm="1">
        <f t="array" aca="1" ref="G29" ca="1">INDIRECT("G"&amp;34*$C$1+29)</f>
        <v>400146.154708802</v>
      </c>
      <c r="H29" s="83" cm="1">
        <f t="array" aca="1" ref="H29" ca="1">INDIRECT("H"&amp;34*$C$1+29)</f>
        <v>432328.59472733899</v>
      </c>
      <c r="I29" s="83" cm="1">
        <f t="array" aca="1" ref="I29" ca="1">INDIRECT("I"&amp;34*$C$1+29)</f>
        <v>439872.089941215</v>
      </c>
      <c r="J29" s="83" cm="1">
        <f t="array" aca="1" ref="J29" ca="1">INDIRECT("J"&amp;34*$C$1+29)</f>
        <v>447415.58515509201</v>
      </c>
      <c r="K29" s="83" cm="1">
        <f t="array" aca="1" ref="K29" ca="1">INDIRECT("K"&amp;34*$C$1+29)</f>
        <v>397093.20850455301</v>
      </c>
      <c r="L29" s="83" cm="1">
        <f t="array" aca="1" ref="L29" ca="1">INDIRECT("L"&amp;34*$C$1+29)</f>
        <v>346770.83185401501</v>
      </c>
      <c r="M29" s="83" cm="1">
        <f t="array" aca="1" ref="M29" ca="1">INDIRECT("M"&amp;34*$C$1+29)</f>
        <v>347150.01472039201</v>
      </c>
      <c r="N29" s="83" cm="1">
        <f t="array" aca="1" ref="N29" ca="1">INDIRECT("N"&amp;34*$C$1+29)</f>
        <v>347529.19758676999</v>
      </c>
      <c r="O29" s="83" cm="1">
        <f t="array" aca="1" ref="O29" ca="1">INDIRECT("O"&amp;34*$C$1+29)</f>
        <v>281191.61260219</v>
      </c>
      <c r="P29" s="83" cm="1">
        <f t="array" aca="1" ref="P29" ca="1">INDIRECT("P"&amp;34*$C$1+29)</f>
        <v>214854.02761761</v>
      </c>
      <c r="Q29" s="83" cm="1">
        <f t="array" aca="1" ref="Q29" ca="1">INDIRECT("Q"&amp;34*$C$1+29)</f>
        <v>203516.613397254</v>
      </c>
      <c r="R29" s="83" cm="1">
        <f t="array" aca="1" ref="R29" ca="1">INDIRECT("R"&amp;34*$C$1+29)</f>
        <v>192179.19917689697</v>
      </c>
      <c r="S29" s="83" cm="1">
        <f t="array" aca="1" ref="S29" ca="1">INDIRECT("S"&amp;34*$C$1+29)</f>
        <v>0</v>
      </c>
    </row>
    <row r="30" spans="2:19" x14ac:dyDescent="0.3">
      <c r="B30" s="43"/>
      <c r="C30" s="77">
        <v>7.25</v>
      </c>
      <c r="D30" s="83" cm="1">
        <f t="array" aca="1" ref="D30" ca="1">INDIRECT("D"&amp;34*$C$1+30)</f>
        <v>256353.75112629798</v>
      </c>
      <c r="E30" s="83" cm="1">
        <f t="array" aca="1" ref="E30" ca="1">INDIRECT("E"&amp;34*$C$1+30)</f>
        <v>312158.73290828103</v>
      </c>
      <c r="F30" s="83" cm="1">
        <f t="array" aca="1" ref="F30" ca="1">INDIRECT("F"&amp;34*$C$1+30)</f>
        <v>367963.71469026402</v>
      </c>
      <c r="G30" s="83" cm="1">
        <f t="array" aca="1" ref="G30" ca="1">INDIRECT("G"&amp;34*$C$1+30)</f>
        <v>400146.154708802</v>
      </c>
      <c r="H30" s="83" cm="1">
        <f t="array" aca="1" ref="H30" ca="1">INDIRECT("H"&amp;34*$C$1+30)</f>
        <v>432328.59472733899</v>
      </c>
      <c r="I30" s="83" cm="1">
        <f t="array" aca="1" ref="I30" ca="1">INDIRECT("I"&amp;34*$C$1+30)</f>
        <v>439872.089941215</v>
      </c>
      <c r="J30" s="83" cm="1">
        <f t="array" aca="1" ref="J30" ca="1">INDIRECT("J"&amp;34*$C$1+30)</f>
        <v>447415.58515509201</v>
      </c>
      <c r="K30" s="83" cm="1">
        <f t="array" aca="1" ref="K30" ca="1">INDIRECT("K"&amp;34*$C$1+30)</f>
        <v>397093.20850455301</v>
      </c>
      <c r="L30" s="83" cm="1">
        <f t="array" aca="1" ref="L30" ca="1">INDIRECT("L"&amp;34*$C$1+30)</f>
        <v>346770.83185401501</v>
      </c>
      <c r="M30" s="83" cm="1">
        <f t="array" aca="1" ref="M30" ca="1">INDIRECT("M"&amp;34*$C$1+30)</f>
        <v>347150.01472039201</v>
      </c>
      <c r="N30" s="83" cm="1">
        <f t="array" aca="1" ref="N30" ca="1">INDIRECT("N"&amp;34*$C$1+30)</f>
        <v>347529.19758676999</v>
      </c>
      <c r="O30" s="83" cm="1">
        <f t="array" aca="1" ref="O30" ca="1">INDIRECT("O"&amp;34*$C$1+30)</f>
        <v>281191.61260219</v>
      </c>
      <c r="P30" s="83" cm="1">
        <f t="array" aca="1" ref="P30" ca="1">INDIRECT("P"&amp;34*$C$1+30)</f>
        <v>214854.02761761</v>
      </c>
      <c r="Q30" s="83" cm="1">
        <f t="array" aca="1" ref="Q30" ca="1">INDIRECT("Q"&amp;34*$C$1+30)</f>
        <v>203516.613397254</v>
      </c>
      <c r="R30" s="83" cm="1">
        <f t="array" aca="1" ref="R30" ca="1">INDIRECT("R"&amp;34*$C$1+30)</f>
        <v>192179.19917689697</v>
      </c>
      <c r="S30" s="83" cm="1">
        <f t="array" aca="1" ref="S30" ca="1">INDIRECT("S"&amp;34*$C$1+30)</f>
        <v>0</v>
      </c>
    </row>
    <row r="31" spans="2:19" x14ac:dyDescent="0.3">
      <c r="B31" s="43"/>
      <c r="C31" s="77">
        <v>7.75</v>
      </c>
      <c r="D31" s="83" cm="1">
        <f t="array" aca="1" ref="D31" ca="1">INDIRECT("D"&amp;34*$C$1+31)</f>
        <v>256353.75112629798</v>
      </c>
      <c r="E31" s="83" cm="1">
        <f t="array" aca="1" ref="E31" ca="1">INDIRECT("E"&amp;34*$C$1+31)</f>
        <v>312158.73290828103</v>
      </c>
      <c r="F31" s="83" cm="1">
        <f t="array" aca="1" ref="F31" ca="1">INDIRECT("F"&amp;34*$C$1+31)</f>
        <v>367963.71469026402</v>
      </c>
      <c r="G31" s="83" cm="1">
        <f t="array" aca="1" ref="G31" ca="1">INDIRECT("G"&amp;34*$C$1+31)</f>
        <v>400146.154708802</v>
      </c>
      <c r="H31" s="83" cm="1">
        <f t="array" aca="1" ref="H31" ca="1">INDIRECT("H"&amp;34*$C$1+31)</f>
        <v>432328.59472733899</v>
      </c>
      <c r="I31" s="83" cm="1">
        <f t="array" aca="1" ref="I31" ca="1">INDIRECT("I"&amp;34*$C$1+31)</f>
        <v>439872.089941215</v>
      </c>
      <c r="J31" s="83" cm="1">
        <f t="array" aca="1" ref="J31" ca="1">INDIRECT("J"&amp;34*$C$1+31)</f>
        <v>447415.58515509201</v>
      </c>
      <c r="K31" s="83" cm="1">
        <f t="array" aca="1" ref="K31" ca="1">INDIRECT("K"&amp;34*$C$1+31)</f>
        <v>397093.20850455301</v>
      </c>
      <c r="L31" s="83" cm="1">
        <f t="array" aca="1" ref="L31" ca="1">INDIRECT("L"&amp;34*$C$1+31)</f>
        <v>346770.83185401501</v>
      </c>
      <c r="M31" s="83" cm="1">
        <f t="array" aca="1" ref="M31" ca="1">INDIRECT("M"&amp;34*$C$1+31)</f>
        <v>347150.01472039201</v>
      </c>
      <c r="N31" s="83" cm="1">
        <f t="array" aca="1" ref="N31" ca="1">INDIRECT("N"&amp;34*$C$1+31)</f>
        <v>347529.19758676999</v>
      </c>
      <c r="O31" s="83" cm="1">
        <f t="array" aca="1" ref="O31" ca="1">INDIRECT("O"&amp;34*$C$1+31)</f>
        <v>281191.61260219</v>
      </c>
      <c r="P31" s="83" cm="1">
        <f t="array" aca="1" ref="P31" ca="1">INDIRECT("P"&amp;34*$C$1+31)</f>
        <v>214854.02761761</v>
      </c>
      <c r="Q31" s="83" cm="1">
        <f t="array" aca="1" ref="Q31" ca="1">INDIRECT("Q"&amp;34*$C$1+31)</f>
        <v>203516.613397254</v>
      </c>
      <c r="R31" s="83" cm="1">
        <f t="array" aca="1" ref="R31" ca="1">INDIRECT("R"&amp;34*$C$1+31)</f>
        <v>192179.19917689697</v>
      </c>
      <c r="S31" s="83" cm="1">
        <f t="array" aca="1" ref="S31" ca="1">INDIRECT("S"&amp;34*$C$1+31)</f>
        <v>0</v>
      </c>
    </row>
    <row r="32" spans="2:19" x14ac:dyDescent="0.3">
      <c r="B32" s="43"/>
      <c r="C32" s="77">
        <v>8.25</v>
      </c>
      <c r="D32" s="83" cm="1">
        <f t="array" aca="1" ref="D32" ca="1">INDIRECT("D"&amp;34*$C$1+32)</f>
        <v>256353.75112629798</v>
      </c>
      <c r="E32" s="83" cm="1">
        <f t="array" aca="1" ref="E32" ca="1">INDIRECT("E"&amp;34*$C$1+32)</f>
        <v>312158.73290828103</v>
      </c>
      <c r="F32" s="83" cm="1">
        <f t="array" aca="1" ref="F32" ca="1">INDIRECT("F"&amp;34*$C$1+32)</f>
        <v>367963.71469026402</v>
      </c>
      <c r="G32" s="83" cm="1">
        <f t="array" aca="1" ref="G32" ca="1">INDIRECT("G"&amp;34*$C$1+32)</f>
        <v>400146.154708802</v>
      </c>
      <c r="H32" s="83" cm="1">
        <f t="array" aca="1" ref="H32" ca="1">INDIRECT("H"&amp;34*$C$1+32)</f>
        <v>432328.59472733899</v>
      </c>
      <c r="I32" s="83" cm="1">
        <f t="array" aca="1" ref="I32" ca="1">INDIRECT("I"&amp;34*$C$1+32)</f>
        <v>439872.089941215</v>
      </c>
      <c r="J32" s="83" cm="1">
        <f t="array" aca="1" ref="J32" ca="1">INDIRECT("J"&amp;34*$C$1+32)</f>
        <v>447415.58515509201</v>
      </c>
      <c r="K32" s="83" cm="1">
        <f t="array" aca="1" ref="K32" ca="1">INDIRECT("K"&amp;34*$C$1+32)</f>
        <v>397093.20850455301</v>
      </c>
      <c r="L32" s="83" cm="1">
        <f t="array" aca="1" ref="L32" ca="1">INDIRECT("L"&amp;34*$C$1+32)</f>
        <v>346770.83185401501</v>
      </c>
      <c r="M32" s="83" cm="1">
        <f t="array" aca="1" ref="M32" ca="1">INDIRECT("M"&amp;34*$C$1+32)</f>
        <v>347150.01472039201</v>
      </c>
      <c r="N32" s="83" cm="1">
        <f t="array" aca="1" ref="N32" ca="1">INDIRECT("N"&amp;34*$C$1+32)</f>
        <v>347529.19758676999</v>
      </c>
      <c r="O32" s="83" cm="1">
        <f t="array" aca="1" ref="O32" ca="1">INDIRECT("O"&amp;34*$C$1+32)</f>
        <v>281191.61260219</v>
      </c>
      <c r="P32" s="83" cm="1">
        <f t="array" aca="1" ref="P32" ca="1">INDIRECT("P"&amp;34*$C$1+32)</f>
        <v>214854.02761761</v>
      </c>
      <c r="Q32" s="83" cm="1">
        <f t="array" aca="1" ref="Q32" ca="1">INDIRECT("Q"&amp;34*$C$1+32)</f>
        <v>203516.613397254</v>
      </c>
      <c r="R32" s="83" cm="1">
        <f t="array" aca="1" ref="R32" ca="1">INDIRECT("R"&amp;34*$C$1+32)</f>
        <v>192179.19917689697</v>
      </c>
      <c r="S32" s="83" cm="1">
        <f t="array" aca="1" ref="S32" ca="1">INDIRECT("S"&amp;34*$C$1+32)</f>
        <v>0</v>
      </c>
    </row>
    <row r="33" spans="1:19" x14ac:dyDescent="0.3">
      <c r="B33" s="43"/>
      <c r="C33" s="77">
        <v>8.75</v>
      </c>
      <c r="D33" s="83" cm="1">
        <f t="array" aca="1" ref="D33" ca="1">INDIRECT("D"&amp;34*$C$1+33)</f>
        <v>256353.75112629798</v>
      </c>
      <c r="E33" s="83" cm="1">
        <f t="array" aca="1" ref="E33" ca="1">INDIRECT("E"&amp;34*$C$1+33)</f>
        <v>312158.73290828103</v>
      </c>
      <c r="F33" s="83" cm="1">
        <f t="array" aca="1" ref="F33" ca="1">INDIRECT("F"&amp;34*$C$1+33)</f>
        <v>367963.71469026402</v>
      </c>
      <c r="G33" s="83" cm="1">
        <f t="array" aca="1" ref="G33" ca="1">INDIRECT("G"&amp;34*$C$1+33)</f>
        <v>400146.154708802</v>
      </c>
      <c r="H33" s="83" cm="1">
        <f t="array" aca="1" ref="H33" ca="1">INDIRECT("H"&amp;34*$C$1+33)</f>
        <v>432328.59472733899</v>
      </c>
      <c r="I33" s="83" cm="1">
        <f t="array" aca="1" ref="I33" ca="1">INDIRECT("I"&amp;34*$C$1+33)</f>
        <v>439872.089941215</v>
      </c>
      <c r="J33" s="83" cm="1">
        <f t="array" aca="1" ref="J33" ca="1">INDIRECT("J"&amp;34*$C$1+33)</f>
        <v>447415.58515509201</v>
      </c>
      <c r="K33" s="83" cm="1">
        <f t="array" aca="1" ref="K33" ca="1">INDIRECT("K"&amp;34*$C$1+33)</f>
        <v>397093.20850455301</v>
      </c>
      <c r="L33" s="83" cm="1">
        <f t="array" aca="1" ref="L33" ca="1">INDIRECT("L"&amp;34*$C$1+33)</f>
        <v>346770.83185401501</v>
      </c>
      <c r="M33" s="83" cm="1">
        <f t="array" aca="1" ref="M33" ca="1">INDIRECT("M"&amp;34*$C$1+33)</f>
        <v>347150.01472039201</v>
      </c>
      <c r="N33" s="83" cm="1">
        <f t="array" aca="1" ref="N33" ca="1">INDIRECT("N"&amp;34*$C$1+33)</f>
        <v>347529.19758676999</v>
      </c>
      <c r="O33" s="83" cm="1">
        <f t="array" aca="1" ref="O33" ca="1">INDIRECT("O"&amp;34*$C$1+33)</f>
        <v>281191.61260219</v>
      </c>
      <c r="P33" s="83" cm="1">
        <f t="array" aca="1" ref="P33" ca="1">INDIRECT("P"&amp;34*$C$1+33)</f>
        <v>214854.02761761</v>
      </c>
      <c r="Q33" s="83" cm="1">
        <f t="array" aca="1" ref="Q33" ca="1">INDIRECT("Q"&amp;34*$C$1+33)</f>
        <v>203516.613397254</v>
      </c>
      <c r="R33" s="83" cm="1">
        <f t="array" aca="1" ref="R33" ca="1">INDIRECT("R"&amp;34*$C$1+33)</f>
        <v>192179.19917689697</v>
      </c>
      <c r="S33" s="83" cm="1">
        <f t="array" aca="1" ref="S33" ca="1">INDIRECT("S"&amp;34*$C$1+33)</f>
        <v>0</v>
      </c>
    </row>
    <row r="34" spans="1:19" x14ac:dyDescent="0.3">
      <c r="B34" s="43"/>
      <c r="C34" s="77">
        <v>9.25</v>
      </c>
      <c r="D34" s="83" cm="1">
        <f t="array" aca="1" ref="D34" ca="1">INDIRECT("D"&amp;34*$C$1+34)</f>
        <v>256353.75112629798</v>
      </c>
      <c r="E34" s="83" cm="1">
        <f t="array" aca="1" ref="E34" ca="1">INDIRECT("E"&amp;34*$C$1+34)</f>
        <v>312158.73290828103</v>
      </c>
      <c r="F34" s="83" cm="1">
        <f t="array" aca="1" ref="F34" ca="1">INDIRECT("F"&amp;34*$C$1+34)</f>
        <v>367963.71469026402</v>
      </c>
      <c r="G34" s="83" cm="1">
        <f t="array" aca="1" ref="G34" ca="1">INDIRECT("G"&amp;34*$C$1+34)</f>
        <v>400146.154708802</v>
      </c>
      <c r="H34" s="83" cm="1">
        <f t="array" aca="1" ref="H34" ca="1">INDIRECT("H"&amp;34*$C$1+34)</f>
        <v>432328.59472733899</v>
      </c>
      <c r="I34" s="83" cm="1">
        <f t="array" aca="1" ref="I34" ca="1">INDIRECT("I"&amp;34*$C$1+34)</f>
        <v>439872.089941215</v>
      </c>
      <c r="J34" s="83" cm="1">
        <f t="array" aca="1" ref="J34" ca="1">INDIRECT("J"&amp;34*$C$1+34)</f>
        <v>447415.58515509201</v>
      </c>
      <c r="K34" s="83" cm="1">
        <f t="array" aca="1" ref="K34" ca="1">INDIRECT("K"&amp;34*$C$1+34)</f>
        <v>397093.20850455301</v>
      </c>
      <c r="L34" s="83" cm="1">
        <f t="array" aca="1" ref="L34" ca="1">INDIRECT("L"&amp;34*$C$1+34)</f>
        <v>346770.83185401501</v>
      </c>
      <c r="M34" s="83" cm="1">
        <f t="array" aca="1" ref="M34" ca="1">INDIRECT("M"&amp;34*$C$1+34)</f>
        <v>347150.01472039201</v>
      </c>
      <c r="N34" s="83" cm="1">
        <f t="array" aca="1" ref="N34" ca="1">INDIRECT("N"&amp;34*$C$1+34)</f>
        <v>347529.19758676999</v>
      </c>
      <c r="O34" s="83" cm="1">
        <f t="array" aca="1" ref="O34" ca="1">INDIRECT("O"&amp;34*$C$1+34)</f>
        <v>281191.61260219</v>
      </c>
      <c r="P34" s="83" cm="1">
        <f t="array" aca="1" ref="P34" ca="1">INDIRECT("P"&amp;34*$C$1+34)</f>
        <v>214854.02761761</v>
      </c>
      <c r="Q34" s="83" cm="1">
        <f t="array" aca="1" ref="Q34" ca="1">INDIRECT("Q"&amp;34*$C$1+34)</f>
        <v>203516.613397254</v>
      </c>
      <c r="R34" s="83" cm="1">
        <f t="array" aca="1" ref="R34" ca="1">INDIRECT("R"&amp;34*$C$1+34)</f>
        <v>192179.19917689697</v>
      </c>
      <c r="S34" s="83" cm="1">
        <f t="array" aca="1" ref="S34" ca="1">INDIRECT("S"&amp;34*$C$1+34)</f>
        <v>0</v>
      </c>
    </row>
    <row r="35" spans="1:19" s="29" customFormat="1" x14ac:dyDescent="0.3">
      <c r="B35" s="49"/>
      <c r="C35" s="177">
        <v>9.75</v>
      </c>
      <c r="D35" s="83" cm="1">
        <f t="array" aca="1" ref="D35" ca="1">INDIRECT("D"&amp;34*$C$1+35)</f>
        <v>256353.75112629798</v>
      </c>
      <c r="E35" s="83" cm="1">
        <f t="array" aca="1" ref="E35" ca="1">INDIRECT("E"&amp;34*$C$1+35)</f>
        <v>312158.73290828103</v>
      </c>
      <c r="F35" s="83" cm="1">
        <f t="array" aca="1" ref="F35" ca="1">INDIRECT("F"&amp;34*$C$1+35)</f>
        <v>367963.71469026402</v>
      </c>
      <c r="G35" s="83" cm="1">
        <f t="array" aca="1" ref="G35" ca="1">INDIRECT("G"&amp;34*$C$1+35)</f>
        <v>400146.154708802</v>
      </c>
      <c r="H35" s="83" cm="1">
        <f t="array" aca="1" ref="H35" ca="1">INDIRECT("H"&amp;34*$C$1+35)</f>
        <v>432328.59472733899</v>
      </c>
      <c r="I35" s="83" cm="1">
        <f t="array" aca="1" ref="I35" ca="1">INDIRECT("I"&amp;34*$C$1+35)</f>
        <v>439872.089941215</v>
      </c>
      <c r="J35" s="83" cm="1">
        <f t="array" aca="1" ref="J35" ca="1">INDIRECT("J"&amp;34*$C$1+35)</f>
        <v>447415.58515509201</v>
      </c>
      <c r="K35" s="83" cm="1">
        <f t="array" aca="1" ref="K35" ca="1">INDIRECT("K"&amp;34*$C$1+35)</f>
        <v>397093.20850455301</v>
      </c>
      <c r="L35" s="83" cm="1">
        <f t="array" aca="1" ref="L35" ca="1">INDIRECT("L"&amp;34*$C$1+35)</f>
        <v>346770.83185401501</v>
      </c>
      <c r="M35" s="83" cm="1">
        <f t="array" aca="1" ref="M35" ca="1">INDIRECT("M"&amp;34*$C$1+35)</f>
        <v>347150.01472039201</v>
      </c>
      <c r="N35" s="83" cm="1">
        <f t="array" aca="1" ref="N35" ca="1">INDIRECT("N"&amp;34*$C$1+35)</f>
        <v>347529.19758676999</v>
      </c>
      <c r="O35" s="83" cm="1">
        <f t="array" aca="1" ref="O35" ca="1">INDIRECT("O"&amp;34*$C$1+35)</f>
        <v>281191.61260219</v>
      </c>
      <c r="P35" s="83" cm="1">
        <f t="array" aca="1" ref="P35" ca="1">INDIRECT("P"&amp;34*$C$1+35)</f>
        <v>214854.02761761</v>
      </c>
      <c r="Q35" s="83" cm="1">
        <f t="array" aca="1" ref="Q35" ca="1">INDIRECT("Q"&amp;34*$C$1+35)</f>
        <v>203516.613397254</v>
      </c>
      <c r="R35" s="83" cm="1">
        <f t="array" aca="1" ref="R35" ca="1">INDIRECT("R"&amp;34*$C$1+35)</f>
        <v>192179.19917689697</v>
      </c>
      <c r="S35" s="83" cm="1">
        <f t="array" aca="1" ref="S35" ca="1">INDIRECT("S"&amp;34*$C$1+35)</f>
        <v>0</v>
      </c>
    </row>
    <row r="37" spans="1:19" x14ac:dyDescent="0.3">
      <c r="A37">
        <v>1</v>
      </c>
    </row>
    <row r="38" spans="1:19" x14ac:dyDescent="0.3">
      <c r="A38" s="45" t="s">
        <v>128</v>
      </c>
      <c r="B38" s="43"/>
    </row>
    <row r="39" spans="1:19" x14ac:dyDescent="0.3">
      <c r="A39" s="43"/>
      <c r="B39" s="43" t="s">
        <v>6</v>
      </c>
      <c r="D39">
        <v>5</v>
      </c>
      <c r="E39" t="s">
        <v>4</v>
      </c>
    </row>
    <row r="40" spans="1:19" x14ac:dyDescent="0.3">
      <c r="A40" s="43"/>
      <c r="B40" s="43" t="s">
        <v>7</v>
      </c>
      <c r="D40">
        <v>3</v>
      </c>
      <c r="E40" t="s">
        <v>4</v>
      </c>
    </row>
    <row r="41" spans="1:19" x14ac:dyDescent="0.3">
      <c r="A41" s="43"/>
      <c r="B41" s="43" t="s">
        <v>124</v>
      </c>
      <c r="D41">
        <f>((D39/2)^2*PI()*D40)</f>
        <v>58.90486225480862</v>
      </c>
      <c r="E41" t="s">
        <v>5</v>
      </c>
    </row>
    <row r="42" spans="1:19" x14ac:dyDescent="0.3">
      <c r="A42" s="43"/>
      <c r="B42" s="43" t="s">
        <v>12</v>
      </c>
      <c r="D42">
        <v>2000</v>
      </c>
      <c r="E42" t="s">
        <v>125</v>
      </c>
    </row>
    <row r="43" spans="1:19" x14ac:dyDescent="0.3">
      <c r="A43" s="43"/>
      <c r="B43" s="43" t="s">
        <v>126</v>
      </c>
      <c r="D43">
        <v>0.3</v>
      </c>
    </row>
    <row r="44" spans="1:19" x14ac:dyDescent="0.3">
      <c r="B44" s="43" t="s">
        <v>127</v>
      </c>
      <c r="D44">
        <v>0.3</v>
      </c>
    </row>
    <row r="45" spans="1:19" x14ac:dyDescent="0.3">
      <c r="B45" s="43" t="s">
        <v>145</v>
      </c>
      <c r="D45">
        <v>2</v>
      </c>
    </row>
    <row r="47" spans="1:19" x14ac:dyDescent="0.3">
      <c r="A47" s="7" t="s">
        <v>18</v>
      </c>
    </row>
    <row r="48" spans="1:19" x14ac:dyDescent="0.3">
      <c r="B48" s="43"/>
      <c r="C48" s="43"/>
      <c r="D48" s="43" t="s">
        <v>117</v>
      </c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2:19" x14ac:dyDescent="0.3">
      <c r="B49" s="43"/>
      <c r="C49" s="75"/>
      <c r="D49" s="76">
        <v>4.5</v>
      </c>
      <c r="E49" s="76">
        <v>5.5</v>
      </c>
      <c r="F49" s="76">
        <v>6.5</v>
      </c>
      <c r="G49" s="76">
        <v>7.5</v>
      </c>
      <c r="H49" s="76">
        <v>8.5</v>
      </c>
      <c r="I49" s="76">
        <v>9.5</v>
      </c>
      <c r="J49" s="76">
        <v>10.5</v>
      </c>
      <c r="K49" s="76">
        <v>11.5</v>
      </c>
      <c r="L49" s="76">
        <v>12.5</v>
      </c>
      <c r="M49" s="76">
        <v>13.5</v>
      </c>
      <c r="N49" s="76">
        <v>14.5</v>
      </c>
      <c r="O49" s="76">
        <v>15.5</v>
      </c>
      <c r="P49" s="76">
        <v>16.5</v>
      </c>
      <c r="Q49" s="76">
        <v>17.5</v>
      </c>
      <c r="R49" s="76">
        <v>18.5</v>
      </c>
      <c r="S49" s="76">
        <v>19.5</v>
      </c>
    </row>
    <row r="50" spans="2:19" x14ac:dyDescent="0.3">
      <c r="B50" s="43" t="s">
        <v>118</v>
      </c>
      <c r="C50" s="77">
        <v>0.25</v>
      </c>
      <c r="D50" s="85">
        <v>451.36794239086453</v>
      </c>
      <c r="E50" s="85">
        <v>744.93178795503457</v>
      </c>
      <c r="F50" s="85">
        <v>1039.9242995588902</v>
      </c>
      <c r="G50" s="85">
        <v>1283.6977846045259</v>
      </c>
      <c r="H50" s="85">
        <v>1395.1630233123581</v>
      </c>
      <c r="I50" s="85">
        <v>1357.5729997143039</v>
      </c>
      <c r="J50" s="85">
        <v>1223.2166161494915</v>
      </c>
      <c r="K50" s="85">
        <v>1050.1940091651099</v>
      </c>
      <c r="L50" s="85">
        <v>876.26985984930297</v>
      </c>
      <c r="M50" s="85">
        <v>720.10758026590008</v>
      </c>
      <c r="N50" s="85">
        <v>588.29414929090512</v>
      </c>
      <c r="O50" s="85">
        <v>480.25576694439707</v>
      </c>
      <c r="P50" s="85">
        <v>393.25772089067095</v>
      </c>
      <c r="Q50" s="85">
        <v>323.57566227710174</v>
      </c>
      <c r="R50" s="85">
        <v>267.76845237615566</v>
      </c>
      <c r="S50" s="85">
        <v>222.94201257368948</v>
      </c>
    </row>
    <row r="51" spans="2:19" x14ac:dyDescent="0.3">
      <c r="B51" s="43"/>
      <c r="C51" s="77">
        <v>0.75</v>
      </c>
      <c r="D51" s="85">
        <v>4055.955391604326</v>
      </c>
      <c r="E51" s="85">
        <v>6682.5820869159979</v>
      </c>
      <c r="F51" s="85">
        <v>9295.5045691470677</v>
      </c>
      <c r="G51" s="85">
        <v>11396.217420505916</v>
      </c>
      <c r="H51" s="85">
        <v>12304.48560841873</v>
      </c>
      <c r="I51" s="85">
        <v>11930.978920772821</v>
      </c>
      <c r="J51" s="85">
        <v>10742.680722556419</v>
      </c>
      <c r="K51" s="85">
        <v>9228.5137064097253</v>
      </c>
      <c r="L51" s="85">
        <v>7708.6927361470662</v>
      </c>
      <c r="M51" s="85">
        <v>6342.9538358316313</v>
      </c>
      <c r="N51" s="85">
        <v>5187.0021732473579</v>
      </c>
      <c r="O51" s="85">
        <v>4240.9391156426645</v>
      </c>
      <c r="P51" s="85">
        <v>3476.9762776878947</v>
      </c>
      <c r="Q51" s="85">
        <v>2863.6617283268988</v>
      </c>
      <c r="R51" s="85">
        <v>2372.9246400907682</v>
      </c>
      <c r="S51" s="85">
        <v>1978.4518661687141</v>
      </c>
    </row>
    <row r="52" spans="2:19" x14ac:dyDescent="0.3">
      <c r="B52" s="43"/>
      <c r="C52" s="77">
        <v>1.25</v>
      </c>
      <c r="D52" s="85">
        <v>11239.67239070876</v>
      </c>
      <c r="E52" s="85">
        <v>18487.30809441907</v>
      </c>
      <c r="F52" s="85">
        <v>25623.064604399984</v>
      </c>
      <c r="G52" s="85">
        <v>31220.748991802</v>
      </c>
      <c r="H52" s="85">
        <v>33510.732556807598</v>
      </c>
      <c r="I52" s="85">
        <v>32393.614979410137</v>
      </c>
      <c r="J52" s="85">
        <v>29143.101510082106</v>
      </c>
      <c r="K52" s="85">
        <v>25048.614045265444</v>
      </c>
      <c r="L52" s="85">
        <v>20944.124821484769</v>
      </c>
      <c r="M52" s="85">
        <v>17252.531796064748</v>
      </c>
      <c r="N52" s="85">
        <v>14123.540988375271</v>
      </c>
      <c r="O52" s="85">
        <v>11556.627326725482</v>
      </c>
      <c r="P52" s="85">
        <v>9485.0056144360788</v>
      </c>
      <c r="Q52" s="85">
        <v>7823.3223212389958</v>
      </c>
      <c r="R52" s="85">
        <v>6487.9818106978591</v>
      </c>
      <c r="S52" s="85">
        <v>5415.4735197410655</v>
      </c>
    </row>
    <row r="53" spans="2:19" x14ac:dyDescent="0.3">
      <c r="B53" s="43"/>
      <c r="C53" s="77">
        <v>1.75</v>
      </c>
      <c r="D53" s="85">
        <v>21974.582097122471</v>
      </c>
      <c r="E53" s="85">
        <v>36084.013947009757</v>
      </c>
      <c r="F53" s="85">
        <v>49839.844661830211</v>
      </c>
      <c r="G53" s="85">
        <v>60373.898109892361</v>
      </c>
      <c r="H53" s="85">
        <v>64472.180407091895</v>
      </c>
      <c r="I53" s="85">
        <v>62149.612211523468</v>
      </c>
      <c r="J53" s="85">
        <v>55879.372463038213</v>
      </c>
      <c r="K53" s="85">
        <v>48045.489519655988</v>
      </c>
      <c r="L53" s="85">
        <v>40209.245227080108</v>
      </c>
      <c r="M53" s="85">
        <v>33154.990249574366</v>
      </c>
      <c r="N53" s="85">
        <v>27168.20997632205</v>
      </c>
      <c r="O53" s="85">
        <v>22251.611520679904</v>
      </c>
      <c r="P53" s="85">
        <v>18275.22755227278</v>
      </c>
      <c r="Q53" s="85">
        <v>15088.54650848954</v>
      </c>
      <c r="R53" s="85">
        <v>12530.152641900528</v>
      </c>
      <c r="S53" s="85">
        <v>10465.999279947846</v>
      </c>
    </row>
    <row r="54" spans="2:19" x14ac:dyDescent="0.3">
      <c r="B54" s="43"/>
      <c r="C54" s="77">
        <v>2.25</v>
      </c>
      <c r="D54" s="85">
        <v>36233.138921226244</v>
      </c>
      <c r="E54" s="85">
        <v>59399.202153734426</v>
      </c>
      <c r="F54" s="85">
        <v>81765.555013493518</v>
      </c>
      <c r="G54" s="85">
        <v>98526.91634494254</v>
      </c>
      <c r="H54" s="85">
        <v>104725.71112696509</v>
      </c>
      <c r="I54" s="85">
        <v>100704.8867515172</v>
      </c>
      <c r="J54" s="85">
        <v>90478.716070398092</v>
      </c>
      <c r="K54" s="85">
        <v>77837.008595591324</v>
      </c>
      <c r="L54" s="85">
        <v>65196.553739578878</v>
      </c>
      <c r="M54" s="85">
        <v>53807.747536950134</v>
      </c>
      <c r="N54" s="85">
        <v>44119.363833068885</v>
      </c>
      <c r="O54" s="85">
        <v>36166.823017562783</v>
      </c>
      <c r="P54" s="85">
        <v>29738.362631890453</v>
      </c>
      <c r="Q54" s="85">
        <v>24568.086689994663</v>
      </c>
      <c r="R54" s="85">
        <v>20421.11260082648</v>
      </c>
      <c r="S54" s="85">
        <v>17072.698097808265</v>
      </c>
    </row>
    <row r="55" spans="2:19" x14ac:dyDescent="0.3">
      <c r="B55" s="43"/>
      <c r="C55" s="77">
        <v>2.75</v>
      </c>
      <c r="D55" s="85">
        <v>53988.380160524895</v>
      </c>
      <c r="E55" s="85">
        <v>88361.260409669965</v>
      </c>
      <c r="F55" s="85">
        <v>121241.53235896882</v>
      </c>
      <c r="G55" s="85">
        <v>145372.66413648889</v>
      </c>
      <c r="H55" s="85">
        <v>153877.92095101517</v>
      </c>
      <c r="I55" s="85">
        <v>147641.00052843688</v>
      </c>
      <c r="J55" s="85">
        <v>132577.26934584495</v>
      </c>
      <c r="K55" s="85">
        <v>114100.33778034254</v>
      </c>
      <c r="L55" s="85">
        <v>95625.147522578307</v>
      </c>
      <c r="M55" s="85">
        <v>78988.574651640753</v>
      </c>
      <c r="N55" s="85">
        <v>64836.468570549587</v>
      </c>
      <c r="O55" s="85">
        <v>53177.769131856912</v>
      </c>
      <c r="P55" s="85">
        <v>43761.666881391189</v>
      </c>
      <c r="Q55" s="85">
        <v>36183.227374416572</v>
      </c>
      <c r="R55" s="85">
        <v>30101.416417292763</v>
      </c>
      <c r="S55" s="85">
        <v>25186.894775238743</v>
      </c>
    </row>
    <row r="56" spans="2:19" x14ac:dyDescent="0.3">
      <c r="B56" s="43"/>
      <c r="C56" s="77">
        <v>3.25</v>
      </c>
      <c r="D56" s="85">
        <v>75214.386944221347</v>
      </c>
      <c r="E56" s="85">
        <v>122899.69273018344</v>
      </c>
      <c r="F56" s="85">
        <v>168094.47408606854</v>
      </c>
      <c r="G56" s="85">
        <v>200634.24245816586</v>
      </c>
      <c r="H56" s="85">
        <v>211568.39544507122</v>
      </c>
      <c r="I56" s="85">
        <v>202593.48912726922</v>
      </c>
      <c r="J56" s="85">
        <v>181838.97887454843</v>
      </c>
      <c r="K56" s="85">
        <v>156534.32979654014</v>
      </c>
      <c r="L56" s="85">
        <v>131309.85483795177</v>
      </c>
      <c r="M56" s="85">
        <v>108527.58876299884</v>
      </c>
      <c r="N56" s="85">
        <v>89153.117501667046</v>
      </c>
      <c r="O56" s="85">
        <v>73176.184651145843</v>
      </c>
      <c r="P56" s="85">
        <v>60265.265276857084</v>
      </c>
      <c r="Q56" s="85">
        <v>49867.267075117488</v>
      </c>
      <c r="R56" s="85">
        <v>41505.103365788964</v>
      </c>
      <c r="S56" s="85">
        <v>34767.398388379013</v>
      </c>
    </row>
    <row r="57" spans="2:19" x14ac:dyDescent="0.3">
      <c r="B57" s="43"/>
      <c r="C57" s="77">
        <v>3.75</v>
      </c>
      <c r="D57" s="85">
        <v>99884.257003185194</v>
      </c>
      <c r="E57" s="85">
        <v>162945.47346545287</v>
      </c>
      <c r="F57" s="85">
        <v>222196.36953740133</v>
      </c>
      <c r="G57" s="85">
        <v>264056.77897361305</v>
      </c>
      <c r="H57" s="85">
        <v>277494.47974727931</v>
      </c>
      <c r="I57" s="85">
        <v>265234.82168104465</v>
      </c>
      <c r="J57" s="85">
        <v>237949.83492215298</v>
      </c>
      <c r="K57" s="85">
        <v>204942.34562634738</v>
      </c>
      <c r="L57" s="85">
        <v>172009.59158786677</v>
      </c>
      <c r="M57" s="85">
        <v>142272.71019051544</v>
      </c>
      <c r="N57" s="85">
        <v>116963.19289824623</v>
      </c>
      <c r="O57" s="85">
        <v>96071.732223725427</v>
      </c>
      <c r="P57" s="85">
        <v>79177.16508892944</v>
      </c>
      <c r="Q57" s="85">
        <v>65564.492915126015</v>
      </c>
      <c r="R57" s="85">
        <v>54610.563280425602</v>
      </c>
      <c r="S57" s="85">
        <v>45763.452433450657</v>
      </c>
    </row>
    <row r="58" spans="2:19" x14ac:dyDescent="0.3">
      <c r="B58" s="43"/>
      <c r="C58" s="77">
        <v>4.25</v>
      </c>
      <c r="D58" s="85">
        <v>127971.91970600217</v>
      </c>
      <c r="E58" s="85">
        <v>208431.02498523213</v>
      </c>
      <c r="F58" s="85">
        <v>283386.33669162082</v>
      </c>
      <c r="G58" s="85">
        <v>335402.41912797804</v>
      </c>
      <c r="H58" s="85">
        <v>351371.57924591447</v>
      </c>
      <c r="I58" s="85">
        <v>335286.50062695146</v>
      </c>
      <c r="J58" s="85">
        <v>300669.55156622105</v>
      </c>
      <c r="K58" s="85">
        <v>259060.2991098213</v>
      </c>
      <c r="L58" s="85">
        <v>217575.69955753721</v>
      </c>
      <c r="M58" s="85">
        <v>180137.51523835704</v>
      </c>
      <c r="N58" s="85">
        <v>148164.76484397132</v>
      </c>
      <c r="O58" s="85">
        <v>121784.54108468464</v>
      </c>
      <c r="P58" s="85">
        <v>100435.14422829887</v>
      </c>
      <c r="Q58" s="85">
        <v>83226.250333832053</v>
      </c>
      <c r="R58" s="85">
        <v>69370.855460292471</v>
      </c>
      <c r="S58" s="85">
        <v>58173.364079585568</v>
      </c>
    </row>
    <row r="59" spans="2:19" x14ac:dyDescent="0.3">
      <c r="B59" s="43"/>
      <c r="C59" s="77">
        <v>4.75</v>
      </c>
      <c r="D59" s="85">
        <v>159451.65509858492</v>
      </c>
      <c r="E59" s="85">
        <v>259288.97138898747</v>
      </c>
      <c r="F59" s="85">
        <v>351513.8659281549</v>
      </c>
      <c r="G59" s="85">
        <v>414455.21843170351</v>
      </c>
      <c r="H59" s="85">
        <v>432948.2742521154</v>
      </c>
      <c r="I59" s="85">
        <v>412517.25511891261</v>
      </c>
      <c r="J59" s="85">
        <v>369827.42340093001</v>
      </c>
      <c r="K59" s="85">
        <v>318726.70451896999</v>
      </c>
      <c r="L59" s="85">
        <v>267864.30221028201</v>
      </c>
      <c r="M59" s="85">
        <v>221883.57824419421</v>
      </c>
      <c r="N59" s="85">
        <v>182671.96835772612</v>
      </c>
      <c r="O59" s="85">
        <v>150248.55874962479</v>
      </c>
      <c r="P59" s="85">
        <v>123953.9567734477</v>
      </c>
      <c r="Q59" s="85">
        <v>102809.99853407919</v>
      </c>
      <c r="R59" s="85">
        <v>85751.770704958079</v>
      </c>
      <c r="S59" s="85">
        <v>71958.675150387935</v>
      </c>
    </row>
    <row r="60" spans="2:19" x14ac:dyDescent="0.3">
      <c r="B60" s="43"/>
      <c r="C60" s="77">
        <v>5.25</v>
      </c>
      <c r="D60" s="85">
        <v>194297.76403268956</v>
      </c>
      <c r="E60" s="85">
        <v>315455.4090410978</v>
      </c>
      <c r="F60" s="85">
        <v>426479.33232519065</v>
      </c>
      <c r="G60" s="85">
        <v>501063.60754380468</v>
      </c>
      <c r="H60" s="85">
        <v>521997.0197843046</v>
      </c>
      <c r="I60" s="85">
        <v>496678.05236817937</v>
      </c>
      <c r="J60" s="85">
        <v>445143.51827228919</v>
      </c>
      <c r="K60" s="85">
        <v>383779.22240281443</v>
      </c>
      <c r="L60" s="85">
        <v>322748.22116139962</v>
      </c>
      <c r="M60" s="85">
        <v>267539.77147381566</v>
      </c>
      <c r="N60" s="85">
        <v>220409.39683391628</v>
      </c>
      <c r="O60" s="85">
        <v>181407.36602135692</v>
      </c>
      <c r="P60" s="85">
        <v>149755.18756641442</v>
      </c>
      <c r="Q60" s="85">
        <v>124249.50283497295</v>
      </c>
      <c r="R60" s="85">
        <v>103696.01965529351</v>
      </c>
      <c r="S60" s="85">
        <v>87069.140452042833</v>
      </c>
    </row>
    <row r="61" spans="2:19" x14ac:dyDescent="0.3">
      <c r="B61" s="43"/>
      <c r="C61" s="77">
        <v>5.75</v>
      </c>
      <c r="D61" s="85">
        <v>232485.30558477223</v>
      </c>
      <c r="E61" s="85">
        <v>376866.00235615962</v>
      </c>
      <c r="F61" s="85">
        <v>508130.9641045701</v>
      </c>
      <c r="G61" s="85">
        <v>594957.32695342123</v>
      </c>
      <c r="H61" s="85">
        <v>618304.29646168638</v>
      </c>
      <c r="I61" s="85">
        <v>587572.59613604634</v>
      </c>
      <c r="J61" s="85">
        <v>526473.66128420515</v>
      </c>
      <c r="K61" s="85">
        <v>454073.29578629561</v>
      </c>
      <c r="L61" s="85">
        <v>382112.99512462621</v>
      </c>
      <c r="M61" s="85">
        <v>316977.71305416309</v>
      </c>
      <c r="N61" s="85">
        <v>261250.32739634009</v>
      </c>
      <c r="O61" s="85">
        <v>215209.41937717583</v>
      </c>
      <c r="P61" s="85">
        <v>177768.22528172977</v>
      </c>
      <c r="Q61" s="85">
        <v>147581.46913254654</v>
      </c>
      <c r="R61" s="85">
        <v>123242.77860083553</v>
      </c>
      <c r="S61" s="85">
        <v>103543.92797022547</v>
      </c>
    </row>
    <row r="62" spans="2:19" x14ac:dyDescent="0.3">
      <c r="B62" s="43"/>
      <c r="C62" s="77">
        <v>6.25</v>
      </c>
      <c r="D62" s="85">
        <v>273989.43309023743</v>
      </c>
      <c r="E62" s="85">
        <v>443458.88456533389</v>
      </c>
      <c r="F62" s="85">
        <v>596324.50037264556</v>
      </c>
      <c r="G62" s="85">
        <v>695980.91773984942</v>
      </c>
      <c r="H62" s="85">
        <v>721676.05215890997</v>
      </c>
      <c r="I62" s="85">
        <v>684998.55073718238</v>
      </c>
      <c r="J62" s="85">
        <v>613587.95612361154</v>
      </c>
      <c r="K62" s="85">
        <v>529475.13927446411</v>
      </c>
      <c r="L62" s="85">
        <v>445856.27526701987</v>
      </c>
      <c r="M62" s="85">
        <v>370118.40489721275</v>
      </c>
      <c r="N62" s="85">
        <v>305257.81765736709</v>
      </c>
      <c r="O62" s="85">
        <v>251553.36687227196</v>
      </c>
      <c r="P62" s="85">
        <v>207960.59574378814</v>
      </c>
      <c r="Q62" s="85">
        <v>172746.87203209708</v>
      </c>
      <c r="R62" s="85">
        <v>144341.82924645208</v>
      </c>
      <c r="S62" s="85">
        <v>121340.30565505939</v>
      </c>
    </row>
    <row r="63" spans="2:19" x14ac:dyDescent="0.3">
      <c r="B63" s="43"/>
      <c r="C63" s="77">
        <v>6.75</v>
      </c>
      <c r="D63" s="85">
        <v>318785.03768295358</v>
      </c>
      <c r="E63" s="85">
        <v>515171.28096700989</v>
      </c>
      <c r="F63" s="85">
        <v>691009.80925949872</v>
      </c>
      <c r="G63" s="85">
        <v>804060.13620247296</v>
      </c>
      <c r="H63" s="85">
        <v>831925.12156148115</v>
      </c>
      <c r="I63" s="85">
        <v>788830.7676846924</v>
      </c>
      <c r="J63" s="85">
        <v>706480.30784383591</v>
      </c>
      <c r="K63" s="85">
        <v>609775.46352322225</v>
      </c>
      <c r="L63" s="85">
        <v>513785.10946405458</v>
      </c>
      <c r="M63" s="85">
        <v>426890.66920019063</v>
      </c>
      <c r="N63" s="85">
        <v>352320.53894812317</v>
      </c>
      <c r="O63" s="85">
        <v>290521.36317297636</v>
      </c>
      <c r="P63" s="85">
        <v>240254.67304142303</v>
      </c>
      <c r="Q63" s="85">
        <v>199678.67632894544</v>
      </c>
      <c r="R63" s="85">
        <v>166935.13760029557</v>
      </c>
      <c r="S63" s="85">
        <v>140409.26426435361</v>
      </c>
    </row>
    <row r="64" spans="2:19" x14ac:dyDescent="0.3">
      <c r="B64" s="43"/>
      <c r="C64" s="77">
        <v>7.25</v>
      </c>
      <c r="D64" s="85">
        <v>366847.78265401174</v>
      </c>
      <c r="E64" s="85">
        <v>591943.12094467459</v>
      </c>
      <c r="F64" s="85">
        <v>792026.32649150828</v>
      </c>
      <c r="G64" s="85">
        <v>918891.25690861582</v>
      </c>
      <c r="H64" s="85">
        <v>948929.62426849839</v>
      </c>
      <c r="I64" s="85">
        <v>898887.69164647453</v>
      </c>
      <c r="J64" s="85">
        <v>804947.29250940366</v>
      </c>
      <c r="K64" s="85">
        <v>695058.72338622808</v>
      </c>
      <c r="L64" s="85">
        <v>586027.40654452262</v>
      </c>
      <c r="M64" s="85">
        <v>487145.03542722372</v>
      </c>
      <c r="N64" s="85">
        <v>402308.61434921966</v>
      </c>
      <c r="O64" s="85">
        <v>332015.91327732097</v>
      </c>
      <c r="P64" s="85">
        <v>274728.42126119661</v>
      </c>
      <c r="Q64" s="85">
        <v>228456.23304915411</v>
      </c>
      <c r="R64" s="85">
        <v>191096.66786718232</v>
      </c>
      <c r="S64" s="85">
        <v>160818.36423617962</v>
      </c>
    </row>
    <row r="65" spans="1:19" x14ac:dyDescent="0.3">
      <c r="B65" s="43"/>
      <c r="C65" s="77">
        <v>7.75</v>
      </c>
      <c r="D65" s="85">
        <v>418153.10981380573</v>
      </c>
      <c r="E65" s="85">
        <v>673731.32323432737</v>
      </c>
      <c r="F65" s="85">
        <v>899206.30667397159</v>
      </c>
      <c r="G65" s="85">
        <v>1040477.2823404867</v>
      </c>
      <c r="H65" s="85">
        <v>1072481.2932465086</v>
      </c>
      <c r="I65" s="85">
        <v>1015014.5480340046</v>
      </c>
      <c r="J65" s="85">
        <v>908856.05038940709</v>
      </c>
      <c r="K65" s="85">
        <v>785121.70024779113</v>
      </c>
      <c r="L65" s="85">
        <v>662394.79370316979</v>
      </c>
      <c r="M65" s="85">
        <v>551012.92240495037</v>
      </c>
      <c r="N65" s="85">
        <v>455361.21139659052</v>
      </c>
      <c r="O65" s="85">
        <v>375944.85700812849</v>
      </c>
      <c r="P65" s="85">
        <v>311246.28543072153</v>
      </c>
      <c r="Q65" s="85">
        <v>258955.43191004571</v>
      </c>
      <c r="R65" s="85">
        <v>216717.79847994185</v>
      </c>
      <c r="S65" s="85">
        <v>182472.81087707763</v>
      </c>
    </row>
    <row r="66" spans="1:19" x14ac:dyDescent="0.3">
      <c r="B66" s="43"/>
      <c r="C66" s="77">
        <v>8.25</v>
      </c>
      <c r="D66" s="85">
        <v>472677.89003253548</v>
      </c>
      <c r="E66" s="85">
        <v>760455.33755617251</v>
      </c>
      <c r="F66" s="85">
        <v>1012595.5211415769</v>
      </c>
      <c r="G66" s="85">
        <v>1168519.0811544161</v>
      </c>
      <c r="H66" s="85">
        <v>1202426.4769569598</v>
      </c>
      <c r="I66" s="85">
        <v>1137066.5564952877</v>
      </c>
      <c r="J66" s="85">
        <v>1018001.0575307936</v>
      </c>
      <c r="K66" s="85">
        <v>879748.34378766781</v>
      </c>
      <c r="L66" s="85">
        <v>742690.39734064811</v>
      </c>
      <c r="M66" s="85">
        <v>618224.92073484045</v>
      </c>
      <c r="N66" s="85">
        <v>511239.36319940112</v>
      </c>
      <c r="O66" s="85">
        <v>422423.52192092326</v>
      </c>
      <c r="P66" s="85">
        <v>349922.94396827946</v>
      </c>
      <c r="Q66" s="85">
        <v>291288.33648120839</v>
      </c>
      <c r="R66" s="85">
        <v>243901.74152156175</v>
      </c>
      <c r="S66" s="85">
        <v>205465.89429336425</v>
      </c>
    </row>
    <row r="67" spans="1:19" x14ac:dyDescent="0.3">
      <c r="B67" s="43"/>
      <c r="C67" s="77">
        <v>8.75</v>
      </c>
      <c r="D67" s="85">
        <v>530398.86217606103</v>
      </c>
      <c r="E67" s="85">
        <v>852067.52217428468</v>
      </c>
      <c r="F67" s="85">
        <v>1132002.2668120346</v>
      </c>
      <c r="G67" s="85">
        <v>1303062.0550500734</v>
      </c>
      <c r="H67" s="85">
        <v>1338727.3526324059</v>
      </c>
      <c r="I67" s="85">
        <v>1264982.8465844204</v>
      </c>
      <c r="J67" s="85">
        <v>1132497.2195328062</v>
      </c>
      <c r="K67" s="85">
        <v>979136.00150021107</v>
      </c>
      <c r="L67" s="85">
        <v>827135.61669408111</v>
      </c>
      <c r="M67" s="85">
        <v>688996.49043539399</v>
      </c>
      <c r="N67" s="85">
        <v>570147.47943709278</v>
      </c>
      <c r="O67" s="85">
        <v>471278.45626967651</v>
      </c>
      <c r="P67" s="85">
        <v>390601.46238339675</v>
      </c>
      <c r="Q67" s="85">
        <v>325311.70396635361</v>
      </c>
      <c r="R67" s="85">
        <v>272522.94021410367</v>
      </c>
      <c r="S67" s="85">
        <v>229689.02745448385</v>
      </c>
    </row>
    <row r="68" spans="1:19" x14ac:dyDescent="0.3">
      <c r="B68" s="43"/>
      <c r="C68" s="77">
        <v>9.25</v>
      </c>
      <c r="D68" s="85">
        <v>591292.67403195251</v>
      </c>
      <c r="E68" s="85">
        <v>948512.46569101745</v>
      </c>
      <c r="F68" s="85">
        <v>1257325.099466536</v>
      </c>
      <c r="G68" s="85">
        <v>1443766.2491309147</v>
      </c>
      <c r="H68" s="85">
        <v>1481119.2002973182</v>
      </c>
      <c r="I68" s="85">
        <v>1398564.8525918159</v>
      </c>
      <c r="J68" s="85">
        <v>1252097.6744232865</v>
      </c>
      <c r="K68" s="85">
        <v>1083035.1298431298</v>
      </c>
      <c r="L68" s="85">
        <v>915351.04222376354</v>
      </c>
      <c r="M68" s="85">
        <v>763001.08231819014</v>
      </c>
      <c r="N68" s="85">
        <v>631800.60219651193</v>
      </c>
      <c r="O68" s="85">
        <v>522657.25429208466</v>
      </c>
      <c r="P68" s="85">
        <v>433421.67911389435</v>
      </c>
      <c r="Q68" s="85">
        <v>361159.12210125383</v>
      </c>
      <c r="R68" s="85">
        <v>302626.5139055294</v>
      </c>
      <c r="S68" s="85">
        <v>255182.35679400008</v>
      </c>
    </row>
    <row r="69" spans="1:19" x14ac:dyDescent="0.3">
      <c r="B69" s="43"/>
      <c r="C69" s="77">
        <v>9.75</v>
      </c>
      <c r="D69" s="85">
        <v>655336.43344537262</v>
      </c>
      <c r="E69" s="85">
        <v>1049735.1851625184</v>
      </c>
      <c r="F69" s="85">
        <v>1388464.7239453716</v>
      </c>
      <c r="G69" s="85">
        <v>1590769.8177787233</v>
      </c>
      <c r="H69" s="85">
        <v>1629615.5150616793</v>
      </c>
      <c r="I69" s="85">
        <v>1537782.3359302855</v>
      </c>
      <c r="J69" s="85">
        <v>1376667.0301834359</v>
      </c>
      <c r="K69" s="85">
        <v>1191287.5904706684</v>
      </c>
      <c r="L69" s="85">
        <v>1007646.6270960815</v>
      </c>
      <c r="M69" s="85">
        <v>840517.29511347215</v>
      </c>
      <c r="N69" s="85">
        <v>696453.42099578143</v>
      </c>
      <c r="O69" s="85">
        <v>576374.99981396226</v>
      </c>
      <c r="P69" s="85">
        <v>478221.60436365311</v>
      </c>
      <c r="Q69" s="85">
        <v>398684.36182601203</v>
      </c>
      <c r="R69" s="85">
        <v>334310.41532413982</v>
      </c>
      <c r="S69" s="85">
        <v>282035.72315088985</v>
      </c>
    </row>
    <row r="71" spans="1:19" x14ac:dyDescent="0.3">
      <c r="A71">
        <v>2</v>
      </c>
      <c r="B71" s="89"/>
    </row>
    <row r="72" spans="1:19" x14ac:dyDescent="0.3">
      <c r="A72" s="45" t="s">
        <v>89</v>
      </c>
      <c r="B72" s="43"/>
    </row>
    <row r="73" spans="1:19" x14ac:dyDescent="0.3">
      <c r="A73" s="43"/>
      <c r="B73" s="43" t="s">
        <v>91</v>
      </c>
      <c r="D73">
        <v>5</v>
      </c>
      <c r="E73" t="s">
        <v>4</v>
      </c>
    </row>
    <row r="74" spans="1:19" x14ac:dyDescent="0.3">
      <c r="A74" s="43"/>
      <c r="B74" s="43" t="s">
        <v>93</v>
      </c>
      <c r="D74">
        <v>3</v>
      </c>
      <c r="E74" t="s">
        <v>4</v>
      </c>
    </row>
    <row r="75" spans="1:19" x14ac:dyDescent="0.3">
      <c r="A75" s="43"/>
      <c r="B75" s="43" t="s">
        <v>124</v>
      </c>
      <c r="D75">
        <v>30</v>
      </c>
      <c r="E75" t="s">
        <v>5</v>
      </c>
    </row>
    <row r="76" spans="1:19" x14ac:dyDescent="0.3">
      <c r="A76" s="43"/>
      <c r="B76" s="43" t="s">
        <v>12</v>
      </c>
      <c r="D76">
        <v>75</v>
      </c>
      <c r="E76" t="s">
        <v>125</v>
      </c>
    </row>
    <row r="77" spans="1:19" x14ac:dyDescent="0.3">
      <c r="A77" s="43"/>
      <c r="B77" s="43" t="s">
        <v>126</v>
      </c>
      <c r="D77">
        <v>0.5</v>
      </c>
    </row>
    <row r="78" spans="1:19" x14ac:dyDescent="0.3">
      <c r="B78" s="43" t="s">
        <v>127</v>
      </c>
      <c r="D78">
        <v>1</v>
      </c>
    </row>
    <row r="79" spans="1:19" x14ac:dyDescent="0.3">
      <c r="B79" s="43" t="s">
        <v>145</v>
      </c>
      <c r="D79">
        <v>2</v>
      </c>
    </row>
    <row r="81" spans="1:19" x14ac:dyDescent="0.3">
      <c r="A81" s="7" t="s">
        <v>18</v>
      </c>
    </row>
    <row r="82" spans="1:19" x14ac:dyDescent="0.3">
      <c r="B82" s="43"/>
      <c r="C82" s="43"/>
      <c r="D82" s="43" t="s">
        <v>117</v>
      </c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1:19" x14ac:dyDescent="0.3">
      <c r="B83" s="43"/>
      <c r="C83" s="75"/>
      <c r="D83" s="76">
        <v>4.5</v>
      </c>
      <c r="E83" s="76">
        <v>5.5</v>
      </c>
      <c r="F83" s="76">
        <v>6.5</v>
      </c>
      <c r="G83" s="76">
        <v>7.5</v>
      </c>
      <c r="H83" s="76">
        <v>8.5</v>
      </c>
      <c r="I83" s="76">
        <v>9.5</v>
      </c>
      <c r="J83" s="76">
        <v>10.5</v>
      </c>
      <c r="K83" s="76">
        <v>11.5</v>
      </c>
      <c r="L83" s="76">
        <v>12.5</v>
      </c>
      <c r="M83" s="76">
        <v>13.5</v>
      </c>
      <c r="N83" s="76">
        <v>14.5</v>
      </c>
      <c r="O83" s="76">
        <v>15.5</v>
      </c>
      <c r="P83" s="76">
        <v>16.5</v>
      </c>
      <c r="Q83" s="76">
        <v>17.5</v>
      </c>
      <c r="R83" s="76">
        <v>18.5</v>
      </c>
      <c r="S83" s="76">
        <v>19.5</v>
      </c>
    </row>
    <row r="84" spans="1:19" x14ac:dyDescent="0.3">
      <c r="B84" s="43" t="s">
        <v>118</v>
      </c>
      <c r="C84" s="77">
        <v>0.25</v>
      </c>
      <c r="D84" s="85">
        <v>0</v>
      </c>
      <c r="E84" s="85">
        <v>0</v>
      </c>
      <c r="F84" s="85">
        <v>0</v>
      </c>
      <c r="G84" s="85">
        <v>0</v>
      </c>
      <c r="H84" s="85">
        <v>0</v>
      </c>
      <c r="I84" s="85">
        <v>0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</row>
    <row r="85" spans="1:19" x14ac:dyDescent="0.3">
      <c r="B85" s="43"/>
      <c r="C85" s="77">
        <v>0.75</v>
      </c>
      <c r="D85" s="85">
        <v>0</v>
      </c>
      <c r="E85" s="85">
        <v>1616.20307432804</v>
      </c>
      <c r="F85" s="85">
        <v>1558.1048521415801</v>
      </c>
      <c r="G85" s="85">
        <v>1535.0808053702699</v>
      </c>
      <c r="H85" s="85">
        <v>1468.59696128372</v>
      </c>
      <c r="I85" s="85">
        <v>1483.31276347126</v>
      </c>
      <c r="J85" s="85">
        <v>789.98875010069105</v>
      </c>
      <c r="K85" s="85">
        <v>596.98470679070294</v>
      </c>
      <c r="L85" s="85">
        <v>481.88972243247099</v>
      </c>
      <c r="M85" s="85">
        <v>412.31237003352402</v>
      </c>
      <c r="N85" s="85">
        <v>349.59562902902599</v>
      </c>
      <c r="O85" s="85">
        <v>0</v>
      </c>
      <c r="P85" s="85">
        <v>0</v>
      </c>
      <c r="Q85" s="85">
        <v>0</v>
      </c>
      <c r="R85" s="85">
        <v>0</v>
      </c>
      <c r="S85" s="85">
        <v>0</v>
      </c>
    </row>
    <row r="86" spans="1:19" x14ac:dyDescent="0.3">
      <c r="B86" s="43"/>
      <c r="C86" s="77">
        <v>1.25</v>
      </c>
      <c r="D86" s="85">
        <v>0</v>
      </c>
      <c r="E86" s="85">
        <v>4136.9349368490402</v>
      </c>
      <c r="F86" s="85">
        <v>4292.8810006840004</v>
      </c>
      <c r="G86" s="85">
        <v>4243.0238179456401</v>
      </c>
      <c r="H86" s="85">
        <v>4122.9442718861101</v>
      </c>
      <c r="I86" s="85">
        <v>3662.7109576130501</v>
      </c>
      <c r="J86" s="85">
        <v>2089.33675681981</v>
      </c>
      <c r="K86" s="85">
        <v>1627.7754931264601</v>
      </c>
      <c r="L86" s="85">
        <v>1351.74329456947</v>
      </c>
      <c r="M86" s="85">
        <v>1125.2866344353699</v>
      </c>
      <c r="N86" s="85">
        <v>995.98407844934502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</row>
    <row r="87" spans="1:19" x14ac:dyDescent="0.3">
      <c r="B87" s="43"/>
      <c r="C87" s="77">
        <v>1.75</v>
      </c>
      <c r="D87" s="85">
        <v>0</v>
      </c>
      <c r="E87" s="85">
        <v>8123.2656104018897</v>
      </c>
      <c r="F87" s="85">
        <v>8352.3593503720003</v>
      </c>
      <c r="G87" s="85">
        <v>7837.4426077991202</v>
      </c>
      <c r="H87" s="85">
        <v>7733.6080726826704</v>
      </c>
      <c r="I87" s="85">
        <v>7140.1250055178398</v>
      </c>
      <c r="J87" s="85">
        <v>4499.3359573280004</v>
      </c>
      <c r="K87" s="85">
        <v>3219.2641268683501</v>
      </c>
      <c r="L87" s="85">
        <v>2650.46023816259</v>
      </c>
      <c r="M87" s="85">
        <v>2286.1116245360399</v>
      </c>
      <c r="N87" s="85">
        <v>1871.6359652947799</v>
      </c>
      <c r="O87" s="85">
        <v>1698.6372621799801</v>
      </c>
      <c r="P87" s="85">
        <v>0</v>
      </c>
      <c r="Q87" s="85">
        <v>0</v>
      </c>
      <c r="R87" s="85">
        <v>0</v>
      </c>
      <c r="S87" s="85">
        <v>0</v>
      </c>
    </row>
    <row r="88" spans="1:19" x14ac:dyDescent="0.3">
      <c r="B88" s="43"/>
      <c r="C88" s="77">
        <v>2.25</v>
      </c>
      <c r="D88" s="85">
        <v>0</v>
      </c>
      <c r="E88" s="85">
        <v>8123.2656104018897</v>
      </c>
      <c r="F88" s="85">
        <v>14196.608485588</v>
      </c>
      <c r="G88" s="85">
        <v>13538.4762860267</v>
      </c>
      <c r="H88" s="85">
        <v>14042.4314419899</v>
      </c>
      <c r="I88" s="85">
        <v>11908.8434753007</v>
      </c>
      <c r="J88" s="85">
        <v>7286.4551686570403</v>
      </c>
      <c r="K88" s="85">
        <v>5332.3776417577001</v>
      </c>
      <c r="L88" s="85">
        <v>4424.8781753679395</v>
      </c>
      <c r="M88" s="85">
        <v>3656.0984815895999</v>
      </c>
      <c r="N88" s="85">
        <v>3203.4412114904999</v>
      </c>
      <c r="O88" s="85">
        <v>2847.3639592295299</v>
      </c>
      <c r="P88" s="85">
        <v>0</v>
      </c>
      <c r="Q88" s="85">
        <v>0</v>
      </c>
      <c r="R88" s="85">
        <v>0</v>
      </c>
      <c r="S88" s="85">
        <v>0</v>
      </c>
    </row>
    <row r="89" spans="1:19" x14ac:dyDescent="0.3">
      <c r="B89" s="43"/>
      <c r="C89" s="77">
        <v>2.75</v>
      </c>
      <c r="D89" s="85">
        <v>0</v>
      </c>
      <c r="E89" s="85">
        <v>8123.2656104018897</v>
      </c>
      <c r="F89" s="85">
        <v>21555.224151679398</v>
      </c>
      <c r="G89" s="85">
        <v>19937.827967113401</v>
      </c>
      <c r="H89" s="85">
        <v>20196.309054282399</v>
      </c>
      <c r="I89" s="85">
        <v>20132.476041422498</v>
      </c>
      <c r="J89" s="85">
        <v>11019.2889764628</v>
      </c>
      <c r="K89" s="85">
        <v>8078.4756297431204</v>
      </c>
      <c r="L89" s="85">
        <v>6579.9205308013197</v>
      </c>
      <c r="M89" s="85">
        <v>5542.6836486321199</v>
      </c>
      <c r="N89" s="85">
        <v>4720.6937077758103</v>
      </c>
      <c r="O89" s="85">
        <v>4166.0402808874896</v>
      </c>
      <c r="P89" s="85">
        <v>0</v>
      </c>
      <c r="Q89" s="85">
        <v>0</v>
      </c>
      <c r="R89" s="85">
        <v>0</v>
      </c>
      <c r="S89" s="85">
        <v>0</v>
      </c>
    </row>
    <row r="90" spans="1:19" x14ac:dyDescent="0.3">
      <c r="B90" s="43"/>
      <c r="C90" s="77">
        <v>3.25</v>
      </c>
      <c r="D90" s="85">
        <v>0</v>
      </c>
      <c r="E90" s="85">
        <v>8123.2656104018897</v>
      </c>
      <c r="F90" s="85">
        <v>21555.224151679398</v>
      </c>
      <c r="G90" s="85">
        <v>27124.594451249399</v>
      </c>
      <c r="H90" s="85">
        <v>29488.469962089901</v>
      </c>
      <c r="I90" s="85">
        <v>27483.6410753489</v>
      </c>
      <c r="J90" s="85">
        <v>14129.8264558099</v>
      </c>
      <c r="K90" s="85">
        <v>10765.6254580389</v>
      </c>
      <c r="L90" s="85">
        <v>9189.6487960981904</v>
      </c>
      <c r="M90" s="85">
        <v>8022.0903099600901</v>
      </c>
      <c r="N90" s="85">
        <v>6600.4479720090603</v>
      </c>
      <c r="O90" s="85">
        <v>5927.6119302632796</v>
      </c>
      <c r="P90" s="85">
        <v>5114.5597903632097</v>
      </c>
      <c r="Q90" s="85">
        <v>0</v>
      </c>
      <c r="R90" s="85">
        <v>0</v>
      </c>
      <c r="S90" s="85">
        <v>0</v>
      </c>
    </row>
    <row r="91" spans="1:19" x14ac:dyDescent="0.3">
      <c r="B91" s="43"/>
      <c r="C91" s="77">
        <v>3.75</v>
      </c>
      <c r="D91" s="85">
        <v>0</v>
      </c>
      <c r="E91" s="85">
        <v>8123.2656104018897</v>
      </c>
      <c r="F91" s="85">
        <v>21555.224151679398</v>
      </c>
      <c r="G91" s="85">
        <v>39708.802238558899</v>
      </c>
      <c r="H91" s="85">
        <v>36271.355219602701</v>
      </c>
      <c r="I91" s="85">
        <v>38781.969246489898</v>
      </c>
      <c r="J91" s="85">
        <v>20078.9273141103</v>
      </c>
      <c r="K91" s="85">
        <v>15243.0117490948</v>
      </c>
      <c r="L91" s="85">
        <v>12107.7080412378</v>
      </c>
      <c r="M91" s="85">
        <v>10706.724076737901</v>
      </c>
      <c r="N91" s="85">
        <v>8739.9736798270496</v>
      </c>
      <c r="O91" s="85">
        <v>7657.2627633100901</v>
      </c>
      <c r="P91" s="85">
        <v>6570.2561918902202</v>
      </c>
      <c r="Q91" s="85">
        <v>0</v>
      </c>
      <c r="R91" s="85">
        <v>0</v>
      </c>
      <c r="S91" s="85">
        <v>0</v>
      </c>
    </row>
    <row r="92" spans="1:19" x14ac:dyDescent="0.3">
      <c r="B92" s="43"/>
      <c r="C92" s="77">
        <v>4.25</v>
      </c>
      <c r="D92" s="85">
        <v>0</v>
      </c>
      <c r="E92" s="85">
        <v>8123.2656104018897</v>
      </c>
      <c r="F92" s="85">
        <v>21555.224151679398</v>
      </c>
      <c r="G92" s="85">
        <v>39708.802238558899</v>
      </c>
      <c r="H92" s="85">
        <v>46453.203813333799</v>
      </c>
      <c r="I92" s="85">
        <v>45306.548161705199</v>
      </c>
      <c r="J92" s="85">
        <v>26016.5919618685</v>
      </c>
      <c r="K92" s="85">
        <v>20085.784268136002</v>
      </c>
      <c r="L92" s="85">
        <v>15813.5269400996</v>
      </c>
      <c r="M92" s="85">
        <v>12948.729351743599</v>
      </c>
      <c r="N92" s="85">
        <v>11538.328565026</v>
      </c>
      <c r="O92" s="85">
        <v>9868.17654168013</v>
      </c>
      <c r="P92" s="85">
        <v>6570.2561918902202</v>
      </c>
      <c r="Q92" s="85">
        <v>0</v>
      </c>
      <c r="R92" s="85">
        <v>0</v>
      </c>
      <c r="S92" s="85">
        <v>0</v>
      </c>
    </row>
    <row r="93" spans="1:19" x14ac:dyDescent="0.3">
      <c r="B93" s="43"/>
      <c r="C93" s="77">
        <v>4.75</v>
      </c>
      <c r="D93" s="85">
        <v>0</v>
      </c>
      <c r="E93" s="85">
        <v>8123.2656104018897</v>
      </c>
      <c r="F93" s="85">
        <v>21555.224151679398</v>
      </c>
      <c r="G93" s="85">
        <v>39708.802238558899</v>
      </c>
      <c r="H93" s="85">
        <v>57095.365230535201</v>
      </c>
      <c r="I93" s="85">
        <v>63422.721404570701</v>
      </c>
      <c r="J93" s="85">
        <v>33107.340629793602</v>
      </c>
      <c r="K93" s="85">
        <v>24942.372660466601</v>
      </c>
      <c r="L93" s="85">
        <v>19939.042787147198</v>
      </c>
      <c r="M93" s="85">
        <v>16905.106842352699</v>
      </c>
      <c r="N93" s="85">
        <v>14531.1188187522</v>
      </c>
      <c r="O93" s="85">
        <v>12391.5537745539</v>
      </c>
      <c r="P93" s="85">
        <v>6570.2561918902202</v>
      </c>
      <c r="Q93" s="85">
        <v>0</v>
      </c>
      <c r="R93" s="85">
        <v>0</v>
      </c>
      <c r="S93" s="85">
        <v>0</v>
      </c>
    </row>
    <row r="94" spans="1:19" x14ac:dyDescent="0.3">
      <c r="B94" s="43"/>
      <c r="C94" s="77">
        <v>5.25</v>
      </c>
      <c r="D94" s="85">
        <v>0</v>
      </c>
      <c r="E94" s="85">
        <v>8123.2656104018897</v>
      </c>
      <c r="F94" s="85">
        <v>21555.224151679398</v>
      </c>
      <c r="G94" s="85">
        <v>39708.802238558899</v>
      </c>
      <c r="H94" s="85">
        <v>57095.365230535201</v>
      </c>
      <c r="I94" s="85">
        <v>67489.662335123605</v>
      </c>
      <c r="J94" s="85">
        <v>36340.961866292302</v>
      </c>
      <c r="K94" s="85">
        <v>29611.955866746001</v>
      </c>
      <c r="L94" s="85">
        <v>24349.628952386902</v>
      </c>
      <c r="M94" s="85">
        <v>21473.0898375377</v>
      </c>
      <c r="N94" s="85">
        <v>18406.909601595598</v>
      </c>
      <c r="O94" s="85">
        <v>15161.309908852199</v>
      </c>
      <c r="P94" s="85">
        <v>6570.2561918902202</v>
      </c>
      <c r="Q94" s="85">
        <v>0</v>
      </c>
      <c r="R94" s="85">
        <v>0</v>
      </c>
      <c r="S94" s="85">
        <v>0</v>
      </c>
    </row>
    <row r="95" spans="1:19" x14ac:dyDescent="0.3">
      <c r="B95" s="43"/>
      <c r="C95" s="77">
        <v>5.75</v>
      </c>
      <c r="D95" s="85">
        <v>0</v>
      </c>
      <c r="E95" s="85">
        <v>8123.2656104018897</v>
      </c>
      <c r="F95" s="85">
        <v>21555.224151679398</v>
      </c>
      <c r="G95" s="85">
        <v>39708.802238558899</v>
      </c>
      <c r="H95" s="85">
        <v>57095.365230535201</v>
      </c>
      <c r="I95" s="85">
        <v>89787.898886410694</v>
      </c>
      <c r="J95" s="85">
        <v>50259.572050351599</v>
      </c>
      <c r="K95" s="85">
        <v>34262.521018886902</v>
      </c>
      <c r="L95" s="85">
        <v>29369.648585761799</v>
      </c>
      <c r="M95" s="85">
        <v>25050.126833807</v>
      </c>
      <c r="N95" s="85">
        <v>22403.408318752601</v>
      </c>
      <c r="O95" s="85">
        <v>15161.309908852199</v>
      </c>
      <c r="P95" s="85">
        <v>6570.2561918902202</v>
      </c>
      <c r="Q95" s="85">
        <v>0</v>
      </c>
      <c r="R95" s="85">
        <v>0</v>
      </c>
      <c r="S95" s="85">
        <v>0</v>
      </c>
    </row>
    <row r="96" spans="1:19" x14ac:dyDescent="0.3">
      <c r="B96" s="43"/>
      <c r="C96" s="77">
        <v>6.25</v>
      </c>
      <c r="D96" s="85">
        <v>0</v>
      </c>
      <c r="E96" s="85">
        <v>8123.2656104018897</v>
      </c>
      <c r="F96" s="85">
        <v>21555.224151679398</v>
      </c>
      <c r="G96" s="85">
        <v>39708.802238558899</v>
      </c>
      <c r="H96" s="85">
        <v>57095.365230535201</v>
      </c>
      <c r="I96" s="85">
        <v>102387.172580578</v>
      </c>
      <c r="J96" s="85">
        <v>57390.719346047903</v>
      </c>
      <c r="K96" s="85">
        <v>42278.6527364465</v>
      </c>
      <c r="L96" s="85">
        <v>35615.816311943599</v>
      </c>
      <c r="M96" s="85">
        <v>29158.376877030001</v>
      </c>
      <c r="N96" s="85">
        <v>24939.619909663401</v>
      </c>
      <c r="O96" s="85">
        <v>15161.309908852199</v>
      </c>
      <c r="P96" s="85">
        <v>6570.2561918902202</v>
      </c>
      <c r="Q96" s="85">
        <v>0</v>
      </c>
      <c r="R96" s="85">
        <v>0</v>
      </c>
      <c r="S96" s="85">
        <v>0</v>
      </c>
    </row>
    <row r="97" spans="1:19" x14ac:dyDescent="0.3">
      <c r="B97" s="43"/>
      <c r="C97" s="77">
        <v>6.75</v>
      </c>
      <c r="D97" s="85">
        <v>0</v>
      </c>
      <c r="E97" s="85">
        <v>8123.2656104018897</v>
      </c>
      <c r="F97" s="85">
        <v>21555.224151679398</v>
      </c>
      <c r="G97" s="85">
        <v>39708.802238558899</v>
      </c>
      <c r="H97" s="85">
        <v>57095.365230535201</v>
      </c>
      <c r="I97" s="85">
        <v>102387.172580578</v>
      </c>
      <c r="J97" s="85">
        <v>67775.225980318995</v>
      </c>
      <c r="K97" s="85">
        <v>48417.304574927097</v>
      </c>
      <c r="L97" s="85">
        <v>40778.851210269502</v>
      </c>
      <c r="M97" s="85">
        <v>35394.988328166502</v>
      </c>
      <c r="N97" s="85">
        <v>31450.411972364</v>
      </c>
      <c r="O97" s="85">
        <v>15161.309908852199</v>
      </c>
      <c r="P97" s="85">
        <v>6570.2561918902202</v>
      </c>
      <c r="Q97" s="85">
        <v>0</v>
      </c>
      <c r="R97" s="85">
        <v>0</v>
      </c>
      <c r="S97" s="85">
        <v>0</v>
      </c>
    </row>
    <row r="98" spans="1:19" x14ac:dyDescent="0.3">
      <c r="B98" s="43"/>
      <c r="C98" s="77">
        <v>7.25</v>
      </c>
      <c r="D98" s="85">
        <v>0</v>
      </c>
      <c r="E98" s="85">
        <v>8123.2656104018897</v>
      </c>
      <c r="F98" s="85">
        <v>21555.224151679398</v>
      </c>
      <c r="G98" s="85">
        <v>39708.802238558899</v>
      </c>
      <c r="H98" s="85">
        <v>57095.365230535201</v>
      </c>
      <c r="I98" s="85">
        <v>102387.172580578</v>
      </c>
      <c r="J98" s="85">
        <v>67775.225980318995</v>
      </c>
      <c r="K98" s="85">
        <v>57173.179985380601</v>
      </c>
      <c r="L98" s="85">
        <v>47000.720478805903</v>
      </c>
      <c r="M98" s="85">
        <v>42296.565073104299</v>
      </c>
      <c r="N98" s="85">
        <v>31450.411972364</v>
      </c>
      <c r="O98" s="85">
        <v>28606.3146280738</v>
      </c>
      <c r="P98" s="85">
        <v>6570.2561918902202</v>
      </c>
      <c r="Q98" s="85">
        <v>0</v>
      </c>
      <c r="R98" s="85">
        <v>0</v>
      </c>
      <c r="S98" s="85">
        <v>0</v>
      </c>
    </row>
    <row r="99" spans="1:19" x14ac:dyDescent="0.3">
      <c r="B99" s="43"/>
      <c r="C99" s="77">
        <v>7.75</v>
      </c>
      <c r="D99" s="85">
        <v>0</v>
      </c>
      <c r="E99" s="85">
        <v>8123.2656104018897</v>
      </c>
      <c r="F99" s="85">
        <v>21555.224151679398</v>
      </c>
      <c r="G99" s="85">
        <v>39708.802238558899</v>
      </c>
      <c r="H99" s="85">
        <v>57095.365230535201</v>
      </c>
      <c r="I99" s="85">
        <v>102387.172580578</v>
      </c>
      <c r="J99" s="85">
        <v>67775.225980318995</v>
      </c>
      <c r="K99" s="85">
        <v>69355.482859119307</v>
      </c>
      <c r="L99" s="85">
        <v>54489.382821891202</v>
      </c>
      <c r="M99" s="85">
        <v>42296.565073104299</v>
      </c>
      <c r="N99" s="85">
        <v>41050.864387844696</v>
      </c>
      <c r="O99" s="85">
        <v>28606.3146280738</v>
      </c>
      <c r="P99" s="85">
        <v>6570.2561918902202</v>
      </c>
      <c r="Q99" s="85">
        <v>0</v>
      </c>
      <c r="R99" s="85">
        <v>0</v>
      </c>
      <c r="S99" s="85">
        <v>0</v>
      </c>
    </row>
    <row r="100" spans="1:19" x14ac:dyDescent="0.3">
      <c r="B100" s="43"/>
      <c r="C100" s="77">
        <v>8.25</v>
      </c>
      <c r="D100" s="85">
        <v>0</v>
      </c>
      <c r="E100" s="85">
        <v>8123.2656104018897</v>
      </c>
      <c r="F100" s="85">
        <v>21555.224151679398</v>
      </c>
      <c r="G100" s="85">
        <v>39708.802238558899</v>
      </c>
      <c r="H100" s="85">
        <v>57095.365230535201</v>
      </c>
      <c r="I100" s="85">
        <v>102387.172580578</v>
      </c>
      <c r="J100" s="85">
        <v>67775.225980318995</v>
      </c>
      <c r="K100" s="85">
        <v>76911.461709957701</v>
      </c>
      <c r="L100" s="85">
        <v>62837.2009215297</v>
      </c>
      <c r="M100" s="85">
        <v>42296.565073104299</v>
      </c>
      <c r="N100" s="85">
        <v>41050.864387844696</v>
      </c>
      <c r="O100" s="85">
        <v>28606.3146280738</v>
      </c>
      <c r="P100" s="85">
        <v>6570.2561918902202</v>
      </c>
      <c r="Q100" s="85">
        <v>0</v>
      </c>
      <c r="R100" s="85">
        <v>0</v>
      </c>
      <c r="S100" s="85">
        <v>0</v>
      </c>
    </row>
    <row r="101" spans="1:19" x14ac:dyDescent="0.3">
      <c r="B101" s="43"/>
      <c r="C101" s="77">
        <v>8.75</v>
      </c>
      <c r="D101" s="85">
        <v>0</v>
      </c>
      <c r="E101" s="85">
        <v>8123.2656104018897</v>
      </c>
      <c r="F101" s="85">
        <v>21555.224151679398</v>
      </c>
      <c r="G101" s="85">
        <v>39708.802238558899</v>
      </c>
      <c r="H101" s="85">
        <v>57095.365230535201</v>
      </c>
      <c r="I101" s="85">
        <v>102387.172580578</v>
      </c>
      <c r="J101" s="85">
        <v>67775.225980318995</v>
      </c>
      <c r="K101" s="85">
        <v>76911.461709957701</v>
      </c>
      <c r="L101" s="85">
        <v>70538.925486245804</v>
      </c>
      <c r="M101" s="85">
        <v>42296.565073104299</v>
      </c>
      <c r="N101" s="85">
        <v>41050.864387844696</v>
      </c>
      <c r="O101" s="85">
        <v>28606.3146280738</v>
      </c>
      <c r="P101" s="85">
        <v>6570.2561918902202</v>
      </c>
      <c r="Q101" s="85">
        <v>0</v>
      </c>
      <c r="R101" s="85">
        <v>0</v>
      </c>
      <c r="S101" s="85">
        <v>0</v>
      </c>
    </row>
    <row r="102" spans="1:19" x14ac:dyDescent="0.3">
      <c r="B102" s="43"/>
      <c r="C102" s="77">
        <v>9.25</v>
      </c>
      <c r="D102" s="85">
        <v>0</v>
      </c>
      <c r="E102" s="85">
        <v>8123.2656104018897</v>
      </c>
      <c r="F102" s="85">
        <v>21555.224151679398</v>
      </c>
      <c r="G102" s="85">
        <v>39708.802238558899</v>
      </c>
      <c r="H102" s="85">
        <v>57095.365230535201</v>
      </c>
      <c r="I102" s="85">
        <v>102387.172580578</v>
      </c>
      <c r="J102" s="85">
        <v>67775.225980318995</v>
      </c>
      <c r="K102" s="85">
        <v>76911.461709957701</v>
      </c>
      <c r="L102" s="85">
        <v>78245.618351914396</v>
      </c>
      <c r="M102" s="85">
        <v>42296.565073104299</v>
      </c>
      <c r="N102" s="85">
        <v>41050.864387844696</v>
      </c>
      <c r="O102" s="85">
        <v>28606.3146280738</v>
      </c>
      <c r="P102" s="85">
        <v>6570.2561918902202</v>
      </c>
      <c r="Q102" s="85">
        <v>0</v>
      </c>
      <c r="R102" s="85">
        <v>0</v>
      </c>
      <c r="S102" s="85">
        <v>0</v>
      </c>
    </row>
    <row r="103" spans="1:19" x14ac:dyDescent="0.3">
      <c r="B103" s="43"/>
      <c r="C103" s="77">
        <v>9.75</v>
      </c>
      <c r="D103" s="85">
        <v>0</v>
      </c>
      <c r="E103" s="85">
        <v>8123.2656104018897</v>
      </c>
      <c r="F103" s="85">
        <v>21555.224151679398</v>
      </c>
      <c r="G103" s="85">
        <v>39708.802238558899</v>
      </c>
      <c r="H103" s="85">
        <v>57095.365230535201</v>
      </c>
      <c r="I103" s="85">
        <v>102387.172580578</v>
      </c>
      <c r="J103" s="85">
        <v>67775.225980318995</v>
      </c>
      <c r="K103" s="85">
        <v>76911.461709957701</v>
      </c>
      <c r="L103" s="85">
        <v>78245.618351914396</v>
      </c>
      <c r="M103" s="85">
        <v>42296.565073104299</v>
      </c>
      <c r="N103" s="85">
        <v>41050.864387844696</v>
      </c>
      <c r="O103" s="85">
        <v>28606.3146280738</v>
      </c>
      <c r="P103" s="85">
        <v>6570.2561918902202</v>
      </c>
      <c r="Q103" s="85">
        <v>0</v>
      </c>
      <c r="R103" s="85">
        <v>0</v>
      </c>
      <c r="S103" s="85">
        <v>0</v>
      </c>
    </row>
    <row r="105" spans="1:19" x14ac:dyDescent="0.3">
      <c r="A105">
        <v>3</v>
      </c>
      <c r="B105" s="110"/>
    </row>
    <row r="106" spans="1:19" x14ac:dyDescent="0.3">
      <c r="A106" s="45" t="s">
        <v>89</v>
      </c>
      <c r="B106" s="43"/>
    </row>
    <row r="107" spans="1:19" x14ac:dyDescent="0.3">
      <c r="A107" s="43"/>
      <c r="B107" s="43" t="s">
        <v>91</v>
      </c>
      <c r="D107">
        <v>5</v>
      </c>
      <c r="E107" t="s">
        <v>4</v>
      </c>
    </row>
    <row r="108" spans="1:19" x14ac:dyDescent="0.3">
      <c r="A108" s="43"/>
      <c r="B108" s="43" t="s">
        <v>93</v>
      </c>
      <c r="D108">
        <v>2</v>
      </c>
      <c r="E108" t="s">
        <v>4</v>
      </c>
    </row>
    <row r="109" spans="1:19" x14ac:dyDescent="0.3">
      <c r="A109" s="43"/>
      <c r="B109" s="43" t="s">
        <v>124</v>
      </c>
      <c r="D109" s="6">
        <f>(D107/2)^2*PI()*D108</f>
        <v>39.269908169872416</v>
      </c>
      <c r="E109" t="s">
        <v>5</v>
      </c>
    </row>
    <row r="110" spans="1:19" x14ac:dyDescent="0.3">
      <c r="A110" s="43"/>
      <c r="B110" s="43" t="s">
        <v>12</v>
      </c>
      <c r="D110">
        <v>0</v>
      </c>
      <c r="E110" t="s">
        <v>125</v>
      </c>
    </row>
    <row r="111" spans="1:19" x14ac:dyDescent="0.3">
      <c r="A111" s="43"/>
      <c r="B111" s="43" t="s">
        <v>126</v>
      </c>
      <c r="D111">
        <v>0.1</v>
      </c>
    </row>
    <row r="112" spans="1:19" x14ac:dyDescent="0.3">
      <c r="B112" s="43" t="s">
        <v>127</v>
      </c>
      <c r="D112">
        <v>0.1</v>
      </c>
    </row>
    <row r="113" spans="1:21" x14ac:dyDescent="0.3">
      <c r="B113" s="43" t="s">
        <v>145</v>
      </c>
      <c r="D113">
        <v>1</v>
      </c>
    </row>
    <row r="115" spans="1:21" x14ac:dyDescent="0.3">
      <c r="A115" s="7" t="s">
        <v>18</v>
      </c>
    </row>
    <row r="116" spans="1:21" x14ac:dyDescent="0.3">
      <c r="B116" s="43"/>
      <c r="C116" s="43"/>
      <c r="D116" s="43" t="s">
        <v>117</v>
      </c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</row>
    <row r="117" spans="1:21" x14ac:dyDescent="0.3">
      <c r="B117" s="43"/>
      <c r="C117" s="75"/>
      <c r="D117" s="76">
        <v>4.5</v>
      </c>
      <c r="E117" s="76">
        <v>5.5</v>
      </c>
      <c r="F117" s="76">
        <v>6.5</v>
      </c>
      <c r="G117" s="76">
        <v>7.5</v>
      </c>
      <c r="H117" s="76">
        <v>8.5</v>
      </c>
      <c r="I117" s="76">
        <v>9.5</v>
      </c>
      <c r="J117" s="76">
        <v>10.5</v>
      </c>
      <c r="K117" s="76">
        <v>11.5</v>
      </c>
      <c r="L117" s="76">
        <v>12.5</v>
      </c>
      <c r="M117" s="76">
        <v>13.5</v>
      </c>
      <c r="N117" s="76">
        <v>14.5</v>
      </c>
      <c r="O117" s="76">
        <v>15.5</v>
      </c>
      <c r="P117" s="76">
        <v>16.5</v>
      </c>
      <c r="Q117" s="76">
        <v>17.5</v>
      </c>
      <c r="R117" s="76">
        <v>18.5</v>
      </c>
      <c r="S117" s="76">
        <v>19.5</v>
      </c>
    </row>
    <row r="118" spans="1:21" x14ac:dyDescent="0.3">
      <c r="B118" s="43" t="s">
        <v>118</v>
      </c>
      <c r="C118" s="77">
        <v>0.25</v>
      </c>
      <c r="D118" s="3">
        <v>261.656562761609</v>
      </c>
      <c r="E118" s="3">
        <v>290.52353832411501</v>
      </c>
      <c r="F118" s="3">
        <v>319.39051388662097</v>
      </c>
      <c r="G118" s="3">
        <v>327.39957686158402</v>
      </c>
      <c r="H118" s="3">
        <v>335.408639836546</v>
      </c>
      <c r="I118" s="3">
        <v>294.75329578995502</v>
      </c>
      <c r="J118" s="3">
        <v>254.09795174336503</v>
      </c>
      <c r="K118" s="3">
        <v>239.69010540251401</v>
      </c>
      <c r="L118" s="3">
        <v>225.28225906166398</v>
      </c>
      <c r="M118" s="3">
        <v>184.35641479280099</v>
      </c>
      <c r="N118" s="3">
        <v>143.430570523939</v>
      </c>
      <c r="O118" s="3">
        <v>142.08818843660001</v>
      </c>
      <c r="P118" s="3">
        <v>140.74580634926102</v>
      </c>
      <c r="Q118" s="3">
        <v>129.96276252002599</v>
      </c>
      <c r="R118" s="3">
        <v>119.17971869079</v>
      </c>
      <c r="S118" s="3">
        <v>97.47963680603209</v>
      </c>
      <c r="U118" s="85">
        <v>0.26165656276160898</v>
      </c>
    </row>
    <row r="119" spans="1:21" x14ac:dyDescent="0.3">
      <c r="B119" s="43"/>
      <c r="C119" s="77">
        <v>0.75</v>
      </c>
      <c r="D119" s="3">
        <v>3493.0876037764097</v>
      </c>
      <c r="E119" s="3">
        <v>3842.44656427579</v>
      </c>
      <c r="F119" s="3">
        <v>4191.8055247751799</v>
      </c>
      <c r="G119" s="3">
        <v>3794.9377324376501</v>
      </c>
      <c r="H119" s="3">
        <v>3398.0699401001198</v>
      </c>
      <c r="I119" s="3">
        <v>3594.5849197655302</v>
      </c>
      <c r="J119" s="3">
        <v>3791.0998994309398</v>
      </c>
      <c r="K119" s="3">
        <v>3363.4803122090598</v>
      </c>
      <c r="L119" s="3">
        <v>2935.8607249871902</v>
      </c>
      <c r="M119" s="3">
        <v>2435.41600779592</v>
      </c>
      <c r="N119" s="3">
        <v>1934.97129060465</v>
      </c>
      <c r="O119" s="3">
        <v>1883.29831614973</v>
      </c>
      <c r="P119" s="3">
        <v>1831.62534169481</v>
      </c>
      <c r="Q119" s="3">
        <v>1590.34584858419</v>
      </c>
      <c r="R119" s="3">
        <v>1349.06635547356</v>
      </c>
      <c r="S119" s="3">
        <v>1267.01994919145</v>
      </c>
      <c r="U119" s="85">
        <v>3.4930876037764098</v>
      </c>
    </row>
    <row r="120" spans="1:21" x14ac:dyDescent="0.3">
      <c r="B120" s="43"/>
      <c r="C120" s="77">
        <v>1.25</v>
      </c>
      <c r="D120" s="3">
        <v>6724.5186447912001</v>
      </c>
      <c r="E120" s="3">
        <v>7394.3695902274694</v>
      </c>
      <c r="F120" s="3">
        <v>8064.2205356637396</v>
      </c>
      <c r="G120" s="3">
        <v>7262.4758880137197</v>
      </c>
      <c r="H120" s="3">
        <v>6460.7312403636997</v>
      </c>
      <c r="I120" s="3">
        <v>6894.4165437411002</v>
      </c>
      <c r="J120" s="3">
        <v>7328.1018471185098</v>
      </c>
      <c r="K120" s="3">
        <v>6487.2705190156094</v>
      </c>
      <c r="L120" s="3">
        <v>5646.4391909127098</v>
      </c>
      <c r="M120" s="3">
        <v>4686.47560079904</v>
      </c>
      <c r="N120" s="3">
        <v>3726.5120106853601</v>
      </c>
      <c r="O120" s="3">
        <v>3624.5084438628601</v>
      </c>
      <c r="P120" s="3">
        <v>3522.50487704037</v>
      </c>
      <c r="Q120" s="3">
        <v>3050.7289346483503</v>
      </c>
      <c r="R120" s="3">
        <v>2578.9529922563302</v>
      </c>
      <c r="S120" s="3">
        <v>2436.5602615768698</v>
      </c>
      <c r="U120" s="85">
        <v>6.7245186447911998</v>
      </c>
    </row>
    <row r="121" spans="1:21" x14ac:dyDescent="0.3">
      <c r="B121" s="43"/>
      <c r="C121" s="77">
        <v>1.75</v>
      </c>
      <c r="D121" s="3">
        <v>14175.2875588925</v>
      </c>
      <c r="E121" s="3">
        <v>15535.222476725301</v>
      </c>
      <c r="F121" s="3">
        <v>16895.1573945581</v>
      </c>
      <c r="G121" s="3">
        <v>16124.245050892501</v>
      </c>
      <c r="H121" s="3">
        <v>15353.332707226898</v>
      </c>
      <c r="I121" s="3">
        <v>14578.2384685861</v>
      </c>
      <c r="J121" s="3">
        <v>13803.144229945201</v>
      </c>
      <c r="K121" s="3">
        <v>12664.7778708285</v>
      </c>
      <c r="L121" s="3">
        <v>11526.4115117118</v>
      </c>
      <c r="M121" s="3">
        <v>10498.797623008601</v>
      </c>
      <c r="N121" s="3">
        <v>9471.1837343054995</v>
      </c>
      <c r="O121" s="3">
        <v>8503.7871862358406</v>
      </c>
      <c r="P121" s="3">
        <v>7536.39063816617</v>
      </c>
      <c r="Q121" s="3">
        <v>6392.0131681031298</v>
      </c>
      <c r="R121" s="3">
        <v>5247.6356980400797</v>
      </c>
      <c r="S121" s="3">
        <v>5164.82503119388</v>
      </c>
      <c r="U121" s="85">
        <v>14.175287558892499</v>
      </c>
    </row>
    <row r="122" spans="1:21" x14ac:dyDescent="0.3">
      <c r="B122" s="43"/>
      <c r="C122" s="77">
        <v>2.25</v>
      </c>
      <c r="D122" s="3">
        <v>21626.0564729939</v>
      </c>
      <c r="E122" s="3">
        <v>23676.075363223201</v>
      </c>
      <c r="F122" s="3">
        <v>25726.094253452502</v>
      </c>
      <c r="G122" s="3">
        <v>24986.014213771297</v>
      </c>
      <c r="H122" s="3">
        <v>24245.934174090198</v>
      </c>
      <c r="I122" s="3">
        <v>22262.0603934311</v>
      </c>
      <c r="J122" s="3">
        <v>20278.1866127719</v>
      </c>
      <c r="K122" s="3">
        <v>18842.2852226414</v>
      </c>
      <c r="L122" s="3">
        <v>17406.383832510903</v>
      </c>
      <c r="M122" s="3">
        <v>16311.119645218301</v>
      </c>
      <c r="N122" s="3">
        <v>15215.8554579256</v>
      </c>
      <c r="O122" s="3">
        <v>13383.065928608801</v>
      </c>
      <c r="P122" s="3">
        <v>11550.276399292001</v>
      </c>
      <c r="Q122" s="3">
        <v>9733.2974015579111</v>
      </c>
      <c r="R122" s="3">
        <v>7916.3184038238396</v>
      </c>
      <c r="S122" s="3">
        <v>7893.0898008108998</v>
      </c>
      <c r="U122" s="85">
        <v>21.626056472993898</v>
      </c>
    </row>
    <row r="123" spans="1:21" x14ac:dyDescent="0.3">
      <c r="B123" s="43"/>
      <c r="C123" s="77">
        <v>2.75</v>
      </c>
      <c r="D123" s="3">
        <v>35332.240466166295</v>
      </c>
      <c r="E123" s="3">
        <v>37455.594511754804</v>
      </c>
      <c r="F123" s="3">
        <v>39578.948557343203</v>
      </c>
      <c r="G123" s="3">
        <v>39355.672528049297</v>
      </c>
      <c r="H123" s="3">
        <v>39132.396498755297</v>
      </c>
      <c r="I123" s="3">
        <v>37897.847902453999</v>
      </c>
      <c r="J123" s="3">
        <v>36663.299306152599</v>
      </c>
      <c r="K123" s="3">
        <v>32815.8172595918</v>
      </c>
      <c r="L123" s="3">
        <v>28968.335213030899</v>
      </c>
      <c r="M123" s="3">
        <v>27649.076476471102</v>
      </c>
      <c r="N123" s="3">
        <v>26329.817739911199</v>
      </c>
      <c r="O123" s="3">
        <v>22314.382565430999</v>
      </c>
      <c r="P123" s="3">
        <v>18298.9473909509</v>
      </c>
      <c r="Q123" s="3">
        <v>15922.996871117901</v>
      </c>
      <c r="R123" s="3">
        <v>13547.046351285</v>
      </c>
      <c r="S123" s="3">
        <v>12178.9353125291</v>
      </c>
      <c r="U123" s="85">
        <v>35.332240466166297</v>
      </c>
    </row>
    <row r="124" spans="1:21" x14ac:dyDescent="0.3">
      <c r="B124" s="43"/>
      <c r="C124" s="77">
        <v>3.25</v>
      </c>
      <c r="D124" s="3">
        <v>49038.424459338799</v>
      </c>
      <c r="E124" s="3">
        <v>51235.113660286399</v>
      </c>
      <c r="F124" s="3">
        <v>53431.802861233999</v>
      </c>
      <c r="G124" s="3">
        <v>53725.330842327203</v>
      </c>
      <c r="H124" s="3">
        <v>54018.858823420502</v>
      </c>
      <c r="I124" s="3">
        <v>53533.635411476898</v>
      </c>
      <c r="J124" s="3">
        <v>53048.411999533397</v>
      </c>
      <c r="K124" s="3">
        <v>46789.349296542197</v>
      </c>
      <c r="L124" s="3">
        <v>40530.286593550998</v>
      </c>
      <c r="M124" s="3">
        <v>38987.033307723897</v>
      </c>
      <c r="N124" s="3">
        <v>37443.780021896797</v>
      </c>
      <c r="O124" s="3">
        <v>31245.699202253298</v>
      </c>
      <c r="P124" s="3">
        <v>25047.618382609697</v>
      </c>
      <c r="Q124" s="3">
        <v>22112.696340677998</v>
      </c>
      <c r="R124" s="3">
        <v>19177.774298746201</v>
      </c>
      <c r="S124" s="3">
        <v>16464.7808242473</v>
      </c>
      <c r="U124" s="85">
        <v>49.038424459338799</v>
      </c>
    </row>
    <row r="125" spans="1:21" x14ac:dyDescent="0.3">
      <c r="B125" s="43"/>
      <c r="C125" s="77">
        <v>3.75</v>
      </c>
      <c r="D125" s="3">
        <v>65622.107742373104</v>
      </c>
      <c r="E125" s="3">
        <v>68976.583101693803</v>
      </c>
      <c r="F125" s="3">
        <v>72331.058461014603</v>
      </c>
      <c r="G125" s="3">
        <v>71039.00416671751</v>
      </c>
      <c r="H125" s="3">
        <v>69746.949872420504</v>
      </c>
      <c r="I125" s="3">
        <v>70321.436024587601</v>
      </c>
      <c r="J125" s="3">
        <v>70895.922176754801</v>
      </c>
      <c r="K125" s="3">
        <v>62742.849992524498</v>
      </c>
      <c r="L125" s="3">
        <v>54589.777808294202</v>
      </c>
      <c r="M125" s="3">
        <v>49998.452032459703</v>
      </c>
      <c r="N125" s="3">
        <v>45407.126256625197</v>
      </c>
      <c r="O125" s="3">
        <v>41202.7625494065</v>
      </c>
      <c r="P125" s="3">
        <v>36998.398842187795</v>
      </c>
      <c r="Q125" s="3">
        <v>31810.847710453501</v>
      </c>
      <c r="R125" s="3">
        <v>26623.296578719302</v>
      </c>
      <c r="S125" s="3">
        <v>22308.963268692998</v>
      </c>
      <c r="U125" s="85">
        <v>65.622107742373103</v>
      </c>
    </row>
    <row r="126" spans="1:21" x14ac:dyDescent="0.3">
      <c r="B126" s="43"/>
      <c r="C126" s="77">
        <v>4.25</v>
      </c>
      <c r="D126" s="3">
        <v>82205.791025407292</v>
      </c>
      <c r="E126" s="3">
        <v>86718.052543101294</v>
      </c>
      <c r="F126" s="3">
        <v>91230.314060795194</v>
      </c>
      <c r="G126" s="3">
        <v>88352.677491107897</v>
      </c>
      <c r="H126" s="3">
        <v>85475.040921420499</v>
      </c>
      <c r="I126" s="3">
        <v>87109.236637698297</v>
      </c>
      <c r="J126" s="3">
        <v>88743.432353976197</v>
      </c>
      <c r="K126" s="3">
        <v>78696.350688506791</v>
      </c>
      <c r="L126" s="3">
        <v>68649.269023037501</v>
      </c>
      <c r="M126" s="3">
        <v>61009.870757195597</v>
      </c>
      <c r="N126" s="3">
        <v>53370.472491353605</v>
      </c>
      <c r="O126" s="3">
        <v>51159.8258965598</v>
      </c>
      <c r="P126" s="3">
        <v>48949.1793017659</v>
      </c>
      <c r="Q126" s="3">
        <v>41508.999080229099</v>
      </c>
      <c r="R126" s="3">
        <v>34068.818858692306</v>
      </c>
      <c r="S126" s="3">
        <v>28153.1457131387</v>
      </c>
      <c r="U126" s="85">
        <v>82.205791025407294</v>
      </c>
    </row>
    <row r="127" spans="1:21" x14ac:dyDescent="0.3">
      <c r="B127" s="43"/>
      <c r="C127" s="77">
        <v>4.75</v>
      </c>
      <c r="D127" s="3">
        <v>102589.23783515301</v>
      </c>
      <c r="E127" s="3">
        <v>117412.33130918199</v>
      </c>
      <c r="F127" s="3">
        <v>132235.424783211</v>
      </c>
      <c r="G127" s="3">
        <v>126120.289897924</v>
      </c>
      <c r="H127" s="3">
        <v>120005.155012637</v>
      </c>
      <c r="I127" s="3">
        <v>112794.352501863</v>
      </c>
      <c r="J127" s="3">
        <v>105583.549991088</v>
      </c>
      <c r="K127" s="3">
        <v>98127.722432782612</v>
      </c>
      <c r="L127" s="3">
        <v>90671.894874476711</v>
      </c>
      <c r="M127" s="3">
        <v>79934.000798493798</v>
      </c>
      <c r="N127" s="3">
        <v>69196.106722510798</v>
      </c>
      <c r="O127" s="3">
        <v>63852.959317511697</v>
      </c>
      <c r="P127" s="3">
        <v>58509.811912512603</v>
      </c>
      <c r="Q127" s="3">
        <v>50266.896811057697</v>
      </c>
      <c r="R127" s="3">
        <v>42023.981709602798</v>
      </c>
      <c r="S127" s="3">
        <v>35555.978197700701</v>
      </c>
      <c r="U127" s="85">
        <v>102.589237835153</v>
      </c>
    </row>
    <row r="128" spans="1:21" x14ac:dyDescent="0.3">
      <c r="B128" s="43"/>
      <c r="C128" s="77">
        <v>5.25</v>
      </c>
      <c r="D128" s="3">
        <v>122972.68464489799</v>
      </c>
      <c r="E128" s="3">
        <v>148106.61007526203</v>
      </c>
      <c r="F128" s="3">
        <v>173240.53550562702</v>
      </c>
      <c r="G128" s="3">
        <v>163887.90230474001</v>
      </c>
      <c r="H128" s="3">
        <v>154535.269103853</v>
      </c>
      <c r="I128" s="3">
        <v>138479.46836602699</v>
      </c>
      <c r="J128" s="3">
        <v>122423.667628201</v>
      </c>
      <c r="K128" s="3">
        <v>117559.094177058</v>
      </c>
      <c r="L128" s="3">
        <v>112694.52072591599</v>
      </c>
      <c r="M128" s="3">
        <v>98858.130839791993</v>
      </c>
      <c r="N128" s="3">
        <v>85021.740953667904</v>
      </c>
      <c r="O128" s="3">
        <v>76546.092738463602</v>
      </c>
      <c r="P128" s="3">
        <v>68070.444523259401</v>
      </c>
      <c r="Q128" s="3">
        <v>59024.794541886302</v>
      </c>
      <c r="R128" s="3">
        <v>49979.144560513298</v>
      </c>
      <c r="S128" s="3">
        <v>35555.978197700701</v>
      </c>
      <c r="U128" s="85">
        <v>122.972684644898</v>
      </c>
    </row>
    <row r="129" spans="1:21" x14ac:dyDescent="0.3">
      <c r="B129" s="43"/>
      <c r="C129" s="77">
        <v>5.75</v>
      </c>
      <c r="D129" s="3">
        <v>147152.73398280601</v>
      </c>
      <c r="E129" s="3">
        <v>182450.30492319402</v>
      </c>
      <c r="F129" s="3">
        <v>217747.87586358201</v>
      </c>
      <c r="G129" s="3">
        <v>204199.216021781</v>
      </c>
      <c r="H129" s="3">
        <v>190650.55617997999</v>
      </c>
      <c r="I129" s="3">
        <v>172630.035077496</v>
      </c>
      <c r="J129" s="3">
        <v>154609.513975012</v>
      </c>
      <c r="K129" s="3">
        <v>143890.67188058401</v>
      </c>
      <c r="L129" s="3">
        <v>133171.82978615598</v>
      </c>
      <c r="M129" s="3">
        <v>121251.74908636</v>
      </c>
      <c r="N129" s="3">
        <v>109331.668386565</v>
      </c>
      <c r="O129" s="3">
        <v>97790.134502399989</v>
      </c>
      <c r="P129" s="3">
        <v>86248.600618235403</v>
      </c>
      <c r="Q129" s="3">
        <v>75376.246945957799</v>
      </c>
      <c r="R129" s="3">
        <v>64503.893273680209</v>
      </c>
      <c r="S129" s="3">
        <v>35555.978197700701</v>
      </c>
      <c r="U129" s="85">
        <v>147.15273398280601</v>
      </c>
    </row>
    <row r="130" spans="1:21" x14ac:dyDescent="0.3">
      <c r="B130" s="43"/>
      <c r="C130" s="77">
        <v>6.25</v>
      </c>
      <c r="D130" s="3">
        <v>147152.73398280601</v>
      </c>
      <c r="E130" s="3">
        <v>182450.30492319402</v>
      </c>
      <c r="F130" s="3">
        <v>217747.87586358201</v>
      </c>
      <c r="G130" s="3">
        <v>204199.216021781</v>
      </c>
      <c r="H130" s="3">
        <v>190650.55617997999</v>
      </c>
      <c r="I130" s="3">
        <v>172630.035077496</v>
      </c>
      <c r="J130" s="3">
        <v>154609.513975012</v>
      </c>
      <c r="K130" s="3">
        <v>143890.67188058401</v>
      </c>
      <c r="L130" s="3">
        <v>133171.82978615598</v>
      </c>
      <c r="M130" s="3">
        <v>121251.74908636</v>
      </c>
      <c r="N130" s="3">
        <v>109331.668386565</v>
      </c>
      <c r="O130" s="3">
        <v>97790.134502399989</v>
      </c>
      <c r="P130" s="3">
        <v>86248.600618235403</v>
      </c>
      <c r="Q130" s="3">
        <v>75376.246945957799</v>
      </c>
      <c r="R130" s="3">
        <v>64503.893273680209</v>
      </c>
      <c r="S130" s="3">
        <v>35555.978197700701</v>
      </c>
      <c r="U130" s="85">
        <v>147.15273398280601</v>
      </c>
    </row>
    <row r="131" spans="1:21" x14ac:dyDescent="0.3">
      <c r="B131" s="43"/>
      <c r="C131" s="77">
        <v>6.75</v>
      </c>
      <c r="D131" s="3">
        <v>147152.73398280601</v>
      </c>
      <c r="E131" s="3">
        <v>182450.30492319402</v>
      </c>
      <c r="F131" s="3">
        <v>217747.87586358201</v>
      </c>
      <c r="G131" s="3">
        <v>204199.216021781</v>
      </c>
      <c r="H131" s="3">
        <v>190650.55617997999</v>
      </c>
      <c r="I131" s="3">
        <v>172630.035077496</v>
      </c>
      <c r="J131" s="3">
        <v>154609.513975012</v>
      </c>
      <c r="K131" s="3">
        <v>143890.67188058401</v>
      </c>
      <c r="L131" s="3">
        <v>133171.82978615598</v>
      </c>
      <c r="M131" s="3">
        <v>121251.74908636</v>
      </c>
      <c r="N131" s="3">
        <v>109331.668386565</v>
      </c>
      <c r="O131" s="3">
        <v>97790.134502399989</v>
      </c>
      <c r="P131" s="3">
        <v>86248.600618235403</v>
      </c>
      <c r="Q131" s="3">
        <v>75376.246945957799</v>
      </c>
      <c r="R131" s="3">
        <v>64503.893273680209</v>
      </c>
      <c r="S131" s="3">
        <v>35555.978197700701</v>
      </c>
      <c r="U131" s="85">
        <v>147.15273398280601</v>
      </c>
    </row>
    <row r="132" spans="1:21" x14ac:dyDescent="0.3">
      <c r="B132" s="43"/>
      <c r="C132" s="77">
        <v>7.25</v>
      </c>
      <c r="D132" s="3">
        <v>147152.73398280601</v>
      </c>
      <c r="E132" s="3">
        <v>182450.30492319402</v>
      </c>
      <c r="F132" s="3">
        <v>217747.87586358201</v>
      </c>
      <c r="G132" s="3">
        <v>204199.216021781</v>
      </c>
      <c r="H132" s="3">
        <v>190650.55617997999</v>
      </c>
      <c r="I132" s="3">
        <v>172630.035077496</v>
      </c>
      <c r="J132" s="3">
        <v>154609.513975012</v>
      </c>
      <c r="K132" s="3">
        <v>143890.67188058401</v>
      </c>
      <c r="L132" s="3">
        <v>133171.82978615598</v>
      </c>
      <c r="M132" s="3">
        <v>121251.74908636</v>
      </c>
      <c r="N132" s="3">
        <v>109331.668386565</v>
      </c>
      <c r="O132" s="3">
        <v>97790.134502399989</v>
      </c>
      <c r="P132" s="3">
        <v>86248.600618235403</v>
      </c>
      <c r="Q132" s="3">
        <v>75376.246945957799</v>
      </c>
      <c r="R132" s="3">
        <v>64503.893273680209</v>
      </c>
      <c r="S132" s="3">
        <v>35555.978197700701</v>
      </c>
      <c r="U132" s="85">
        <v>147.15273398280601</v>
      </c>
    </row>
    <row r="133" spans="1:21" x14ac:dyDescent="0.3">
      <c r="B133" s="43"/>
      <c r="C133" s="77">
        <v>7.75</v>
      </c>
      <c r="D133" s="3">
        <v>147152.73398280601</v>
      </c>
      <c r="E133" s="3">
        <v>182450.30492319402</v>
      </c>
      <c r="F133" s="3">
        <v>217747.87586358201</v>
      </c>
      <c r="G133" s="3">
        <v>204199.216021781</v>
      </c>
      <c r="H133" s="3">
        <v>190650.55617997999</v>
      </c>
      <c r="I133" s="3">
        <v>172630.035077496</v>
      </c>
      <c r="J133" s="3">
        <v>154609.513975012</v>
      </c>
      <c r="K133" s="3">
        <v>143890.67188058401</v>
      </c>
      <c r="L133" s="3">
        <v>133171.82978615598</v>
      </c>
      <c r="M133" s="3">
        <v>121251.74908636</v>
      </c>
      <c r="N133" s="3">
        <v>109331.668386565</v>
      </c>
      <c r="O133" s="3">
        <v>97790.134502399989</v>
      </c>
      <c r="P133" s="3">
        <v>86248.600618235403</v>
      </c>
      <c r="Q133" s="3">
        <v>75376.246945957799</v>
      </c>
      <c r="R133" s="3">
        <v>64503.893273680209</v>
      </c>
      <c r="S133" s="3">
        <v>35555.978197700701</v>
      </c>
      <c r="U133" s="85">
        <v>147.15273398280601</v>
      </c>
    </row>
    <row r="134" spans="1:21" x14ac:dyDescent="0.3">
      <c r="B134" s="43"/>
      <c r="C134" s="77">
        <v>8.25</v>
      </c>
      <c r="D134" s="3">
        <v>147152.73398280601</v>
      </c>
      <c r="E134" s="3">
        <v>182450.30492319402</v>
      </c>
      <c r="F134" s="3">
        <v>217747.87586358201</v>
      </c>
      <c r="G134" s="3">
        <v>204199.216021781</v>
      </c>
      <c r="H134" s="3">
        <v>190650.55617997999</v>
      </c>
      <c r="I134" s="3">
        <v>172630.035077496</v>
      </c>
      <c r="J134" s="3">
        <v>154609.513975012</v>
      </c>
      <c r="K134" s="3">
        <v>143890.67188058401</v>
      </c>
      <c r="L134" s="3">
        <v>133171.82978615598</v>
      </c>
      <c r="M134" s="3">
        <v>121251.74908636</v>
      </c>
      <c r="N134" s="3">
        <v>109331.668386565</v>
      </c>
      <c r="O134" s="3">
        <v>97790.134502399989</v>
      </c>
      <c r="P134" s="3">
        <v>86248.600618235403</v>
      </c>
      <c r="Q134" s="3">
        <v>75376.246945957799</v>
      </c>
      <c r="R134" s="3">
        <v>64503.893273680209</v>
      </c>
      <c r="S134" s="3">
        <v>35555.978197700701</v>
      </c>
      <c r="U134" s="85">
        <v>147.15273398280601</v>
      </c>
    </row>
    <row r="135" spans="1:21" x14ac:dyDescent="0.3">
      <c r="B135" s="43"/>
      <c r="C135" s="77">
        <v>8.75</v>
      </c>
      <c r="D135" s="3">
        <v>147152.73398280601</v>
      </c>
      <c r="E135" s="3">
        <v>182450.30492319402</v>
      </c>
      <c r="F135" s="3">
        <v>217747.87586358201</v>
      </c>
      <c r="G135" s="3">
        <v>204199.216021781</v>
      </c>
      <c r="H135" s="3">
        <v>190650.55617997999</v>
      </c>
      <c r="I135" s="3">
        <v>172630.035077496</v>
      </c>
      <c r="J135" s="3">
        <v>154609.513975012</v>
      </c>
      <c r="K135" s="3">
        <v>143890.67188058401</v>
      </c>
      <c r="L135" s="3">
        <v>133171.82978615598</v>
      </c>
      <c r="M135" s="3">
        <v>121251.74908636</v>
      </c>
      <c r="N135" s="3">
        <v>109331.668386565</v>
      </c>
      <c r="O135" s="3">
        <v>97790.134502399989</v>
      </c>
      <c r="P135" s="3">
        <v>86248.600618235403</v>
      </c>
      <c r="Q135" s="3">
        <v>75376.246945957799</v>
      </c>
      <c r="R135" s="3">
        <v>64503.893273680209</v>
      </c>
      <c r="S135" s="3">
        <v>35555.978197700701</v>
      </c>
      <c r="U135" s="85">
        <v>147.15273398280601</v>
      </c>
    </row>
    <row r="136" spans="1:21" x14ac:dyDescent="0.3">
      <c r="B136" s="43"/>
      <c r="C136" s="77">
        <v>9.25</v>
      </c>
      <c r="D136" s="3">
        <v>147152.73398280601</v>
      </c>
      <c r="E136" s="3">
        <v>182450.30492319402</v>
      </c>
      <c r="F136" s="3">
        <v>217747.87586358201</v>
      </c>
      <c r="G136" s="3">
        <v>204199.216021781</v>
      </c>
      <c r="H136" s="3">
        <v>190650.55617997999</v>
      </c>
      <c r="I136" s="3">
        <v>172630.035077496</v>
      </c>
      <c r="J136" s="3">
        <v>154609.513975012</v>
      </c>
      <c r="K136" s="3">
        <v>143890.67188058401</v>
      </c>
      <c r="L136" s="3">
        <v>133171.82978615598</v>
      </c>
      <c r="M136" s="3">
        <v>121251.74908636</v>
      </c>
      <c r="N136" s="3">
        <v>109331.668386565</v>
      </c>
      <c r="O136" s="3">
        <v>97790.134502399989</v>
      </c>
      <c r="P136" s="3">
        <v>86248.600618235403</v>
      </c>
      <c r="Q136" s="3">
        <v>75376.246945957799</v>
      </c>
      <c r="R136" s="3">
        <v>64503.893273680209</v>
      </c>
      <c r="S136" s="3">
        <v>35555.978197700701</v>
      </c>
      <c r="U136" s="85">
        <v>147.15273398280601</v>
      </c>
    </row>
    <row r="137" spans="1:21" x14ac:dyDescent="0.3">
      <c r="B137" s="43"/>
      <c r="C137" s="77">
        <v>9.75</v>
      </c>
      <c r="D137" s="3">
        <v>147152.73398280601</v>
      </c>
      <c r="E137" s="3">
        <v>182450.30492319402</v>
      </c>
      <c r="F137" s="3">
        <v>217747.87586358201</v>
      </c>
      <c r="G137" s="3">
        <v>204199.216021781</v>
      </c>
      <c r="H137" s="3">
        <v>190650.55617997999</v>
      </c>
      <c r="I137" s="3">
        <v>172630.035077496</v>
      </c>
      <c r="J137" s="3">
        <v>154609.513975012</v>
      </c>
      <c r="K137" s="3">
        <v>143890.67188058401</v>
      </c>
      <c r="L137" s="3">
        <v>133171.82978615598</v>
      </c>
      <c r="M137" s="3">
        <v>121251.74908636</v>
      </c>
      <c r="N137" s="3">
        <v>109331.668386565</v>
      </c>
      <c r="O137" s="3">
        <v>97790.134502399989</v>
      </c>
      <c r="P137" s="3">
        <v>86248.600618235403</v>
      </c>
      <c r="Q137" s="3">
        <v>75376.246945957799</v>
      </c>
      <c r="R137" s="3">
        <v>64503.893273680209</v>
      </c>
      <c r="S137" s="3">
        <v>35555.978197700701</v>
      </c>
      <c r="U137" s="85">
        <v>147.15273398280601</v>
      </c>
    </row>
    <row r="139" spans="1:21" x14ac:dyDescent="0.3">
      <c r="A139">
        <v>4</v>
      </c>
      <c r="B139" s="110"/>
    </row>
    <row r="140" spans="1:21" x14ac:dyDescent="0.3">
      <c r="A140" s="45" t="s">
        <v>89</v>
      </c>
      <c r="B140" s="43"/>
    </row>
    <row r="141" spans="1:21" x14ac:dyDescent="0.3">
      <c r="A141" s="43"/>
      <c r="B141" s="43" t="s">
        <v>91</v>
      </c>
      <c r="D141">
        <v>11</v>
      </c>
      <c r="E141" t="s">
        <v>4</v>
      </c>
    </row>
    <row r="142" spans="1:21" x14ac:dyDescent="0.3">
      <c r="A142" s="43"/>
      <c r="B142" s="43" t="s">
        <v>93</v>
      </c>
      <c r="D142">
        <v>4</v>
      </c>
      <c r="E142" t="s">
        <v>4</v>
      </c>
    </row>
    <row r="143" spans="1:21" x14ac:dyDescent="0.3">
      <c r="A143" s="43"/>
      <c r="B143" s="43" t="s">
        <v>124</v>
      </c>
      <c r="D143" s="6">
        <f>(D141/2)^2*PI()*D142</f>
        <v>380.13271108436498</v>
      </c>
      <c r="E143" t="s">
        <v>5</v>
      </c>
    </row>
    <row r="144" spans="1:21" x14ac:dyDescent="0.3">
      <c r="A144" s="43"/>
      <c r="B144" s="43" t="s">
        <v>12</v>
      </c>
      <c r="D144">
        <v>0</v>
      </c>
      <c r="E144" t="s">
        <v>125</v>
      </c>
    </row>
    <row r="145" spans="1:21" x14ac:dyDescent="0.3">
      <c r="A145" s="43"/>
      <c r="B145" s="43" t="s">
        <v>126</v>
      </c>
      <c r="D145">
        <v>0.1</v>
      </c>
    </row>
    <row r="146" spans="1:21" x14ac:dyDescent="0.3">
      <c r="B146" s="43" t="s">
        <v>127</v>
      </c>
      <c r="D146">
        <v>0.1</v>
      </c>
    </row>
    <row r="147" spans="1:21" x14ac:dyDescent="0.3">
      <c r="B147" s="43" t="s">
        <v>145</v>
      </c>
      <c r="D147">
        <v>1</v>
      </c>
    </row>
    <row r="149" spans="1:21" x14ac:dyDescent="0.3">
      <c r="A149" s="7" t="s">
        <v>18</v>
      </c>
    </row>
    <row r="150" spans="1:21" x14ac:dyDescent="0.3">
      <c r="B150" s="43"/>
      <c r="C150" s="43"/>
      <c r="D150" s="43" t="s">
        <v>117</v>
      </c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21" x14ac:dyDescent="0.3">
      <c r="B151" s="43"/>
      <c r="C151" s="75"/>
      <c r="D151" s="76">
        <v>4.5</v>
      </c>
      <c r="E151" s="76">
        <v>5.5</v>
      </c>
      <c r="F151" s="76">
        <v>6.5</v>
      </c>
      <c r="G151" s="76">
        <v>7.5</v>
      </c>
      <c r="H151" s="76">
        <v>8.5</v>
      </c>
      <c r="I151" s="76">
        <v>9.5</v>
      </c>
      <c r="J151" s="76">
        <v>10.5</v>
      </c>
      <c r="K151" s="76">
        <v>11.5</v>
      </c>
      <c r="L151" s="76">
        <v>12.5</v>
      </c>
      <c r="M151" s="76">
        <v>13.5</v>
      </c>
      <c r="N151" s="76">
        <v>14.5</v>
      </c>
      <c r="O151" s="76">
        <v>15.5</v>
      </c>
      <c r="P151" s="76">
        <v>16.5</v>
      </c>
      <c r="Q151" s="76">
        <v>17.5</v>
      </c>
      <c r="R151" s="76">
        <v>18.5</v>
      </c>
      <c r="S151" s="76">
        <v>19.5</v>
      </c>
    </row>
    <row r="152" spans="1:21" x14ac:dyDescent="0.3">
      <c r="B152" s="43" t="s">
        <v>118</v>
      </c>
      <c r="C152" s="77">
        <v>0.25</v>
      </c>
      <c r="D152" s="3">
        <v>408.91160261261899</v>
      </c>
      <c r="E152" s="3">
        <v>528.79454733674504</v>
      </c>
      <c r="F152" s="3">
        <v>648.67749206087103</v>
      </c>
      <c r="G152" s="3">
        <v>616.3047145688339</v>
      </c>
      <c r="H152" s="3">
        <v>583.931937076797</v>
      </c>
      <c r="I152" s="3">
        <v>619.69068648463497</v>
      </c>
      <c r="J152" s="3">
        <v>655.44943589247396</v>
      </c>
      <c r="K152" s="3">
        <v>592.34152012076504</v>
      </c>
      <c r="L152" s="3">
        <v>529.23360434905601</v>
      </c>
      <c r="M152" s="3">
        <v>534.36856391352501</v>
      </c>
      <c r="N152" s="3">
        <v>539.50352347799299</v>
      </c>
      <c r="O152" s="3">
        <v>485.21413959502803</v>
      </c>
      <c r="P152" s="3">
        <v>430.92475571206302</v>
      </c>
      <c r="Q152" s="3">
        <v>368.01333853159002</v>
      </c>
      <c r="R152" s="3">
        <v>305.10192135111703</v>
      </c>
      <c r="S152" s="3">
        <v>0</v>
      </c>
      <c r="U152">
        <v>0.408911602612619</v>
      </c>
    </row>
    <row r="153" spans="1:21" x14ac:dyDescent="0.3">
      <c r="B153" s="43"/>
      <c r="C153" s="77">
        <v>0.75</v>
      </c>
      <c r="D153" s="3">
        <v>4561.0986656790501</v>
      </c>
      <c r="E153" s="3">
        <v>6224.9338370461192</v>
      </c>
      <c r="F153" s="3">
        <v>7888.76900841318</v>
      </c>
      <c r="G153" s="3">
        <v>8613.0216551449994</v>
      </c>
      <c r="H153" s="3">
        <v>9337.2743018768106</v>
      </c>
      <c r="I153" s="3">
        <v>9282.7204860109505</v>
      </c>
      <c r="J153" s="3">
        <v>9228.1666701450995</v>
      </c>
      <c r="K153" s="3">
        <v>8383.142901044539</v>
      </c>
      <c r="L153" s="3">
        <v>7538.1191319439804</v>
      </c>
      <c r="M153" s="3">
        <v>7857.7254429724599</v>
      </c>
      <c r="N153" s="3">
        <v>8177.3317540009402</v>
      </c>
      <c r="O153" s="3">
        <v>6375.1180785174702</v>
      </c>
      <c r="P153" s="3">
        <v>4572.9044030340001</v>
      </c>
      <c r="Q153" s="3">
        <v>3760.6050478403399</v>
      </c>
      <c r="R153" s="3">
        <v>2948.3056926466702</v>
      </c>
      <c r="S153" s="3">
        <v>0</v>
      </c>
      <c r="U153">
        <v>4.56109866567905</v>
      </c>
    </row>
    <row r="154" spans="1:21" x14ac:dyDescent="0.3">
      <c r="B154" s="43"/>
      <c r="C154" s="77">
        <v>1.25</v>
      </c>
      <c r="D154" s="3">
        <v>8713.2857287454808</v>
      </c>
      <c r="E154" s="3">
        <v>11921.0731267555</v>
      </c>
      <c r="F154" s="3">
        <v>15128.8605247655</v>
      </c>
      <c r="G154" s="3">
        <v>16609.738595721199</v>
      </c>
      <c r="H154" s="3">
        <v>18090.6166666768</v>
      </c>
      <c r="I154" s="3">
        <v>17945.750285537302</v>
      </c>
      <c r="J154" s="3">
        <v>17800.883904397702</v>
      </c>
      <c r="K154" s="3">
        <v>16173.944281968299</v>
      </c>
      <c r="L154" s="3">
        <v>14547.004659538899</v>
      </c>
      <c r="M154" s="3">
        <v>15181.082322031401</v>
      </c>
      <c r="N154" s="3">
        <v>15815.1599845239</v>
      </c>
      <c r="O154" s="3">
        <v>12265.0220174399</v>
      </c>
      <c r="P154" s="3">
        <v>8714.8840503559386</v>
      </c>
      <c r="Q154" s="3">
        <v>7153.1967571490795</v>
      </c>
      <c r="R154" s="3">
        <v>5591.5094639422296</v>
      </c>
      <c r="S154" s="3">
        <v>0</v>
      </c>
      <c r="U154">
        <v>8.7132857287454808</v>
      </c>
    </row>
    <row r="155" spans="1:21" x14ac:dyDescent="0.3">
      <c r="B155" s="43"/>
      <c r="C155" s="77">
        <v>1.75</v>
      </c>
      <c r="D155" s="3">
        <v>22311.9642430977</v>
      </c>
      <c r="E155" s="3">
        <v>28375.211626845099</v>
      </c>
      <c r="F155" s="3">
        <v>34438.459010592604</v>
      </c>
      <c r="G155" s="3">
        <v>36722.365584782303</v>
      </c>
      <c r="H155" s="3">
        <v>39006.272158972002</v>
      </c>
      <c r="I155" s="3">
        <v>37752.386965799698</v>
      </c>
      <c r="J155" s="3">
        <v>36498.501772627402</v>
      </c>
      <c r="K155" s="3">
        <v>36339.7413559817</v>
      </c>
      <c r="L155" s="3">
        <v>36180.980939335903</v>
      </c>
      <c r="M155" s="3">
        <v>31870.419489890101</v>
      </c>
      <c r="N155" s="3">
        <v>27559.8580404444</v>
      </c>
      <c r="O155" s="3">
        <v>24663.025466989598</v>
      </c>
      <c r="P155" s="3">
        <v>21766.192893534899</v>
      </c>
      <c r="Q155" s="3">
        <v>18594.8741684622</v>
      </c>
      <c r="R155" s="3">
        <v>15423.555443389499</v>
      </c>
      <c r="S155" s="3">
        <v>0</v>
      </c>
      <c r="U155">
        <v>22.311964243097702</v>
      </c>
    </row>
    <row r="156" spans="1:21" x14ac:dyDescent="0.3">
      <c r="B156" s="43"/>
      <c r="C156" s="77">
        <v>2.25</v>
      </c>
      <c r="D156" s="3">
        <v>35910.642757449903</v>
      </c>
      <c r="E156" s="3">
        <v>44829.350126934798</v>
      </c>
      <c r="F156" s="3">
        <v>53748.0574964197</v>
      </c>
      <c r="G156" s="3">
        <v>56834.992573843403</v>
      </c>
      <c r="H156" s="3">
        <v>59921.927651267099</v>
      </c>
      <c r="I156" s="3">
        <v>57559.023646062102</v>
      </c>
      <c r="J156" s="3">
        <v>55196.119640857098</v>
      </c>
      <c r="K156" s="3">
        <v>56505.538429995002</v>
      </c>
      <c r="L156" s="3">
        <v>57814.957219132899</v>
      </c>
      <c r="M156" s="3">
        <v>48559.756657748898</v>
      </c>
      <c r="N156" s="3">
        <v>39304.556096364802</v>
      </c>
      <c r="O156" s="3">
        <v>37061.028916539297</v>
      </c>
      <c r="P156" s="3">
        <v>34817.501736713799</v>
      </c>
      <c r="Q156" s="3">
        <v>30036.5515797753</v>
      </c>
      <c r="R156" s="3">
        <v>25255.601422836702</v>
      </c>
      <c r="S156" s="3">
        <v>0</v>
      </c>
      <c r="U156">
        <v>35.910642757449899</v>
      </c>
    </row>
    <row r="157" spans="1:21" x14ac:dyDescent="0.3">
      <c r="B157" s="43"/>
      <c r="C157" s="77">
        <v>2.75</v>
      </c>
      <c r="D157" s="3">
        <v>53729.2987876138</v>
      </c>
      <c r="E157" s="3">
        <v>64588.422739774403</v>
      </c>
      <c r="F157" s="3">
        <v>75447.546691935102</v>
      </c>
      <c r="G157" s="3">
        <v>81460.050109340504</v>
      </c>
      <c r="H157" s="3">
        <v>87472.553526745891</v>
      </c>
      <c r="I157" s="3">
        <v>85723.910613337692</v>
      </c>
      <c r="J157" s="3">
        <v>83975.267699929405</v>
      </c>
      <c r="K157" s="3">
        <v>81102.643221190607</v>
      </c>
      <c r="L157" s="3">
        <v>78230.01874245191</v>
      </c>
      <c r="M157" s="3">
        <v>73965.399648061808</v>
      </c>
      <c r="N157" s="3">
        <v>69700.780553671706</v>
      </c>
      <c r="O157" s="3">
        <v>58307.048723119304</v>
      </c>
      <c r="P157" s="3">
        <v>46913.316892566894</v>
      </c>
      <c r="Q157" s="3">
        <v>43950.529781000296</v>
      </c>
      <c r="R157" s="3">
        <v>40987.742669433603</v>
      </c>
      <c r="S157" s="3">
        <v>0</v>
      </c>
      <c r="U157">
        <v>53.7292987876138</v>
      </c>
    </row>
    <row r="158" spans="1:21" x14ac:dyDescent="0.3">
      <c r="B158" s="43"/>
      <c r="C158" s="77">
        <v>3.25</v>
      </c>
      <c r="D158" s="3">
        <v>71547.954817777587</v>
      </c>
      <c r="E158" s="3">
        <v>84347.495352614002</v>
      </c>
      <c r="F158" s="3">
        <v>97147.035887450402</v>
      </c>
      <c r="G158" s="3">
        <v>106085.107644838</v>
      </c>
      <c r="H158" s="3">
        <v>115023.179402225</v>
      </c>
      <c r="I158" s="3">
        <v>113888.797580613</v>
      </c>
      <c r="J158" s="3">
        <v>112754.415759002</v>
      </c>
      <c r="K158" s="3">
        <v>105699.748012386</v>
      </c>
      <c r="L158" s="3">
        <v>98645.080265770797</v>
      </c>
      <c r="M158" s="3">
        <v>99371.042638374609</v>
      </c>
      <c r="N158" s="3">
        <v>100097.005010978</v>
      </c>
      <c r="O158" s="3">
        <v>79553.068529699201</v>
      </c>
      <c r="P158" s="3">
        <v>59009.132048419997</v>
      </c>
      <c r="Q158" s="3">
        <v>57864.507982225201</v>
      </c>
      <c r="R158" s="3">
        <v>56719.8839160305</v>
      </c>
      <c r="S158" s="3">
        <v>0</v>
      </c>
      <c r="U158">
        <v>71.547954817777594</v>
      </c>
    </row>
    <row r="159" spans="1:21" x14ac:dyDescent="0.3">
      <c r="B159" s="43"/>
      <c r="C159" s="77">
        <v>3.75</v>
      </c>
      <c r="D159" s="3">
        <v>106937.08165033899</v>
      </c>
      <c r="E159" s="3">
        <v>119091.691081447</v>
      </c>
      <c r="F159" s="3">
        <v>131246.300512555</v>
      </c>
      <c r="G159" s="3">
        <v>141683.12072039701</v>
      </c>
      <c r="H159" s="3">
        <v>152119.94092823999</v>
      </c>
      <c r="I159" s="3">
        <v>153191.63458257599</v>
      </c>
      <c r="J159" s="3">
        <v>154263.328236912</v>
      </c>
      <c r="K159" s="3">
        <v>147193.116064706</v>
      </c>
      <c r="L159" s="3">
        <v>140122.903892501</v>
      </c>
      <c r="M159" s="3">
        <v>132884.33834169799</v>
      </c>
      <c r="N159" s="3">
        <v>125645.772790894</v>
      </c>
      <c r="O159" s="3">
        <v>109112.32846361201</v>
      </c>
      <c r="P159" s="3">
        <v>92578.884136328794</v>
      </c>
      <c r="Q159" s="3">
        <v>83309.942543842597</v>
      </c>
      <c r="R159" s="3">
        <v>74041.0009513564</v>
      </c>
      <c r="S159" s="3">
        <v>0</v>
      </c>
      <c r="U159">
        <v>106.937081650339</v>
      </c>
    </row>
    <row r="160" spans="1:21" x14ac:dyDescent="0.3">
      <c r="B160" s="43"/>
      <c r="C160" s="77">
        <v>4.25</v>
      </c>
      <c r="D160" s="3">
        <v>142326.20848290098</v>
      </c>
      <c r="E160" s="3">
        <v>153835.88681028102</v>
      </c>
      <c r="F160" s="3">
        <v>165345.56513766001</v>
      </c>
      <c r="G160" s="3">
        <v>177281.13379595699</v>
      </c>
      <c r="H160" s="3">
        <v>189216.702454254</v>
      </c>
      <c r="I160" s="3">
        <v>192494.471584538</v>
      </c>
      <c r="J160" s="3">
        <v>195772.24071482199</v>
      </c>
      <c r="K160" s="3">
        <v>188686.48411702699</v>
      </c>
      <c r="L160" s="3">
        <v>181600.72751923098</v>
      </c>
      <c r="M160" s="3">
        <v>166397.634045021</v>
      </c>
      <c r="N160" s="3">
        <v>151194.54057081</v>
      </c>
      <c r="O160" s="3">
        <v>138671.588397524</v>
      </c>
      <c r="P160" s="3">
        <v>126148.636224238</v>
      </c>
      <c r="Q160" s="3">
        <v>108755.37710545999</v>
      </c>
      <c r="R160" s="3">
        <v>91362.117986682308</v>
      </c>
      <c r="S160" s="3">
        <v>0</v>
      </c>
      <c r="U160">
        <v>142.326208482901</v>
      </c>
    </row>
    <row r="161" spans="1:21" x14ac:dyDescent="0.3">
      <c r="B161" s="43"/>
      <c r="C161" s="77">
        <v>4.75</v>
      </c>
      <c r="D161" s="3">
        <v>165889.972906337</v>
      </c>
      <c r="E161" s="3">
        <v>183962.80929650998</v>
      </c>
      <c r="F161" s="3">
        <v>202035.64568668301</v>
      </c>
      <c r="G161" s="3">
        <v>219432.219664934</v>
      </c>
      <c r="H161" s="3">
        <v>236828.793643185</v>
      </c>
      <c r="I161" s="3">
        <v>242326.39856430198</v>
      </c>
      <c r="J161" s="3">
        <v>247824.00348541798</v>
      </c>
      <c r="K161" s="3">
        <v>237373.773602339</v>
      </c>
      <c r="L161" s="3">
        <v>226923.54371926002</v>
      </c>
      <c r="M161" s="3">
        <v>218402.284983625</v>
      </c>
      <c r="N161" s="3">
        <v>209881.02624798901</v>
      </c>
      <c r="O161" s="3">
        <v>180564.30659767901</v>
      </c>
      <c r="P161" s="3">
        <v>151247.58694736901</v>
      </c>
      <c r="Q161" s="3">
        <v>127558.22948688299</v>
      </c>
      <c r="R161" s="3">
        <v>103868.872026397</v>
      </c>
      <c r="S161" s="3">
        <v>0</v>
      </c>
      <c r="U161">
        <v>165.88997290633699</v>
      </c>
    </row>
    <row r="162" spans="1:21" x14ac:dyDescent="0.3">
      <c r="B162" s="43"/>
      <c r="C162" s="77">
        <v>5.25</v>
      </c>
      <c r="D162" s="3">
        <v>189453.737329772</v>
      </c>
      <c r="E162" s="3">
        <v>214089.73178273899</v>
      </c>
      <c r="F162" s="3">
        <v>238725.72623570499</v>
      </c>
      <c r="G162" s="3">
        <v>261583.30553391</v>
      </c>
      <c r="H162" s="3">
        <v>284440.88483211602</v>
      </c>
      <c r="I162" s="3">
        <v>292158.32554406498</v>
      </c>
      <c r="J162" s="3">
        <v>299875.76625601505</v>
      </c>
      <c r="K162" s="3">
        <v>286061.06308765197</v>
      </c>
      <c r="L162" s="3">
        <v>272246.35991928895</v>
      </c>
      <c r="M162" s="3">
        <v>270406.93592222902</v>
      </c>
      <c r="N162" s="3">
        <v>268567.51192516903</v>
      </c>
      <c r="O162" s="3">
        <v>222457.02479783402</v>
      </c>
      <c r="P162" s="3">
        <v>176346.53767049999</v>
      </c>
      <c r="Q162" s="3">
        <v>146361.08186830502</v>
      </c>
      <c r="R162" s="3">
        <v>116375.626066111</v>
      </c>
      <c r="S162" s="3">
        <v>0</v>
      </c>
      <c r="U162">
        <v>189.453737329772</v>
      </c>
    </row>
    <row r="163" spans="1:21" x14ac:dyDescent="0.3">
      <c r="B163" s="43"/>
      <c r="C163" s="77">
        <v>5.75</v>
      </c>
      <c r="D163" s="3">
        <v>229553.34293023901</v>
      </c>
      <c r="E163" s="3">
        <v>273920.69027461903</v>
      </c>
      <c r="F163" s="3">
        <v>318288.03761900001</v>
      </c>
      <c r="G163" s="3">
        <v>356019.94432283996</v>
      </c>
      <c r="H163" s="3">
        <v>393751.85102668096</v>
      </c>
      <c r="I163" s="3">
        <v>379667.407464877</v>
      </c>
      <c r="J163" s="3">
        <v>365582.96390307404</v>
      </c>
      <c r="K163" s="3">
        <v>367167.20358169195</v>
      </c>
      <c r="L163" s="3">
        <v>368751.44326030998</v>
      </c>
      <c r="M163" s="3">
        <v>346358.61297101597</v>
      </c>
      <c r="N163" s="3">
        <v>323965.78268172103</v>
      </c>
      <c r="O163" s="3">
        <v>287341.11973910499</v>
      </c>
      <c r="P163" s="3">
        <v>250716.45679648902</v>
      </c>
      <c r="Q163" s="3">
        <v>205159.50752880599</v>
      </c>
      <c r="R163" s="3">
        <v>159602.558261122</v>
      </c>
      <c r="S163" s="3">
        <v>0</v>
      </c>
      <c r="U163">
        <v>229.55334293023901</v>
      </c>
    </row>
    <row r="164" spans="1:21" x14ac:dyDescent="0.3">
      <c r="B164" s="43"/>
      <c r="C164" s="77">
        <v>6.25</v>
      </c>
      <c r="D164" s="3">
        <v>269652.94853070495</v>
      </c>
      <c r="E164" s="3">
        <v>333751.6487665</v>
      </c>
      <c r="F164" s="3">
        <v>397850.34900229401</v>
      </c>
      <c r="G164" s="3">
        <v>450456.58311176999</v>
      </c>
      <c r="H164" s="3">
        <v>503062.81722124602</v>
      </c>
      <c r="I164" s="3">
        <v>467176.48938568903</v>
      </c>
      <c r="J164" s="3">
        <v>431290.16155013302</v>
      </c>
      <c r="K164" s="3">
        <v>448273.34407573199</v>
      </c>
      <c r="L164" s="3">
        <v>465256.52660133102</v>
      </c>
      <c r="M164" s="3">
        <v>422310.29001980199</v>
      </c>
      <c r="N164" s="3">
        <v>379364.05343827303</v>
      </c>
      <c r="O164" s="3">
        <v>352225.214680376</v>
      </c>
      <c r="P164" s="3">
        <v>325086.37592247798</v>
      </c>
      <c r="Q164" s="3">
        <v>263957.933189306</v>
      </c>
      <c r="R164" s="3">
        <v>202829.49045613297</v>
      </c>
      <c r="S164" s="3">
        <v>0</v>
      </c>
      <c r="U164">
        <v>269.65294853070498</v>
      </c>
    </row>
    <row r="165" spans="1:21" x14ac:dyDescent="0.3">
      <c r="B165" s="43"/>
      <c r="C165" s="77">
        <v>6.75</v>
      </c>
      <c r="D165" s="3">
        <v>269652.94853070495</v>
      </c>
      <c r="E165" s="3">
        <v>333751.6487665</v>
      </c>
      <c r="F165" s="3">
        <v>397850.34900229401</v>
      </c>
      <c r="G165" s="3">
        <v>450456.58311176999</v>
      </c>
      <c r="H165" s="3">
        <v>503062.81722124602</v>
      </c>
      <c r="I165" s="3">
        <v>467176.48938568903</v>
      </c>
      <c r="J165" s="3">
        <v>431290.16155013302</v>
      </c>
      <c r="K165" s="3">
        <v>448273.34407573199</v>
      </c>
      <c r="L165" s="3">
        <v>465256.52660133102</v>
      </c>
      <c r="M165" s="3">
        <v>422310.29001980199</v>
      </c>
      <c r="N165" s="3">
        <v>379364.05343827303</v>
      </c>
      <c r="O165" s="3">
        <v>352225.214680376</v>
      </c>
      <c r="P165" s="3">
        <v>325086.37592247798</v>
      </c>
      <c r="Q165" s="3">
        <v>263957.933189306</v>
      </c>
      <c r="R165" s="3">
        <v>202829.49045613297</v>
      </c>
      <c r="S165" s="3">
        <v>0</v>
      </c>
    </row>
    <row r="166" spans="1:21" x14ac:dyDescent="0.3">
      <c r="B166" s="43"/>
      <c r="C166" s="77">
        <v>7.25</v>
      </c>
      <c r="D166" s="3">
        <v>269652.94853070495</v>
      </c>
      <c r="E166" s="3">
        <v>333751.6487665</v>
      </c>
      <c r="F166" s="3">
        <v>397850.34900229401</v>
      </c>
      <c r="G166" s="3">
        <v>450456.58311176999</v>
      </c>
      <c r="H166" s="3">
        <v>503062.81722124602</v>
      </c>
      <c r="I166" s="3">
        <v>467176.48938568903</v>
      </c>
      <c r="J166" s="3">
        <v>431290.16155013302</v>
      </c>
      <c r="K166" s="3">
        <v>448273.34407573199</v>
      </c>
      <c r="L166" s="3">
        <v>465256.52660133102</v>
      </c>
      <c r="M166" s="3">
        <v>422310.29001980199</v>
      </c>
      <c r="N166" s="3">
        <v>379364.05343827303</v>
      </c>
      <c r="O166" s="3">
        <v>352225.214680376</v>
      </c>
      <c r="P166" s="3">
        <v>325086.37592247798</v>
      </c>
      <c r="Q166" s="3">
        <v>263957.933189306</v>
      </c>
      <c r="R166" s="3">
        <v>202829.49045613297</v>
      </c>
      <c r="S166" s="3">
        <v>0</v>
      </c>
    </row>
    <row r="167" spans="1:21" x14ac:dyDescent="0.3">
      <c r="B167" s="43"/>
      <c r="C167" s="77">
        <v>7.75</v>
      </c>
      <c r="D167" s="3">
        <v>269652.94853070495</v>
      </c>
      <c r="E167" s="3">
        <v>333751.6487665</v>
      </c>
      <c r="F167" s="3">
        <v>397850.34900229401</v>
      </c>
      <c r="G167" s="3">
        <v>450456.58311176999</v>
      </c>
      <c r="H167" s="3">
        <v>503062.81722124602</v>
      </c>
      <c r="I167" s="3">
        <v>467176.48938568903</v>
      </c>
      <c r="J167" s="3">
        <v>431290.16155013302</v>
      </c>
      <c r="K167" s="3">
        <v>448273.34407573199</v>
      </c>
      <c r="L167" s="3">
        <v>465256.52660133102</v>
      </c>
      <c r="M167" s="3">
        <v>422310.29001980199</v>
      </c>
      <c r="N167" s="3">
        <v>379364.05343827303</v>
      </c>
      <c r="O167" s="3">
        <v>352225.214680376</v>
      </c>
      <c r="P167" s="3">
        <v>325086.37592247798</v>
      </c>
      <c r="Q167" s="3">
        <v>263957.933189306</v>
      </c>
      <c r="R167" s="3">
        <v>202829.49045613297</v>
      </c>
      <c r="S167" s="3">
        <v>0</v>
      </c>
    </row>
    <row r="168" spans="1:21" x14ac:dyDescent="0.3">
      <c r="B168" s="43"/>
      <c r="C168" s="77">
        <v>8.25</v>
      </c>
      <c r="D168" s="3">
        <v>269652.94853070495</v>
      </c>
      <c r="E168" s="3">
        <v>333751.6487665</v>
      </c>
      <c r="F168" s="3">
        <v>397850.34900229401</v>
      </c>
      <c r="G168" s="3">
        <v>450456.58311176999</v>
      </c>
      <c r="H168" s="3">
        <v>503062.81722124602</v>
      </c>
      <c r="I168" s="3">
        <v>467176.48938568903</v>
      </c>
      <c r="J168" s="3">
        <v>431290.16155013302</v>
      </c>
      <c r="K168" s="3">
        <v>448273.34407573199</v>
      </c>
      <c r="L168" s="3">
        <v>465256.52660133102</v>
      </c>
      <c r="M168" s="3">
        <v>422310.29001980199</v>
      </c>
      <c r="N168" s="3">
        <v>379364.05343827303</v>
      </c>
      <c r="O168" s="3">
        <v>352225.214680376</v>
      </c>
      <c r="P168" s="3">
        <v>325086.37592247798</v>
      </c>
      <c r="Q168" s="3">
        <v>263957.933189306</v>
      </c>
      <c r="R168" s="3">
        <v>202829.49045613297</v>
      </c>
      <c r="S168" s="3">
        <v>0</v>
      </c>
    </row>
    <row r="169" spans="1:21" x14ac:dyDescent="0.3">
      <c r="B169" s="43"/>
      <c r="C169" s="77">
        <v>8.75</v>
      </c>
      <c r="D169" s="3">
        <v>269652.94853070495</v>
      </c>
      <c r="E169" s="3">
        <v>333751.6487665</v>
      </c>
      <c r="F169" s="3">
        <v>397850.34900229401</v>
      </c>
      <c r="G169" s="3">
        <v>450456.58311176999</v>
      </c>
      <c r="H169" s="3">
        <v>503062.81722124602</v>
      </c>
      <c r="I169" s="3">
        <v>467176.48938568903</v>
      </c>
      <c r="J169" s="3">
        <v>431290.16155013302</v>
      </c>
      <c r="K169" s="3">
        <v>448273.34407573199</v>
      </c>
      <c r="L169" s="3">
        <v>465256.52660133102</v>
      </c>
      <c r="M169" s="3">
        <v>422310.29001980199</v>
      </c>
      <c r="N169" s="3">
        <v>379364.05343827303</v>
      </c>
      <c r="O169" s="3">
        <v>352225.214680376</v>
      </c>
      <c r="P169" s="3">
        <v>325086.37592247798</v>
      </c>
      <c r="Q169" s="3">
        <v>263957.933189306</v>
      </c>
      <c r="R169" s="3">
        <v>202829.49045613297</v>
      </c>
      <c r="S169" s="3">
        <v>0</v>
      </c>
    </row>
    <row r="170" spans="1:21" x14ac:dyDescent="0.3">
      <c r="B170" s="43"/>
      <c r="C170" s="77">
        <v>9.25</v>
      </c>
      <c r="D170" s="3">
        <v>269652.94853070495</v>
      </c>
      <c r="E170" s="3">
        <v>333751.6487665</v>
      </c>
      <c r="F170" s="3">
        <v>397850.34900229401</v>
      </c>
      <c r="G170" s="3">
        <v>450456.58311176999</v>
      </c>
      <c r="H170" s="3">
        <v>503062.81722124602</v>
      </c>
      <c r="I170" s="3">
        <v>467176.48938568903</v>
      </c>
      <c r="J170" s="3">
        <v>431290.16155013302</v>
      </c>
      <c r="K170" s="3">
        <v>448273.34407573199</v>
      </c>
      <c r="L170" s="3">
        <v>465256.52660133102</v>
      </c>
      <c r="M170" s="3">
        <v>422310.29001980199</v>
      </c>
      <c r="N170" s="3">
        <v>379364.05343827303</v>
      </c>
      <c r="O170" s="3">
        <v>352225.214680376</v>
      </c>
      <c r="P170" s="3">
        <v>325086.37592247798</v>
      </c>
      <c r="Q170" s="3">
        <v>263957.933189306</v>
      </c>
      <c r="R170" s="3">
        <v>202829.49045613297</v>
      </c>
      <c r="S170" s="3">
        <v>0</v>
      </c>
    </row>
    <row r="171" spans="1:21" x14ac:dyDescent="0.3">
      <c r="B171" s="43"/>
      <c r="C171" s="77">
        <v>9.75</v>
      </c>
      <c r="D171" s="3">
        <v>269652.94853070495</v>
      </c>
      <c r="E171" s="3">
        <v>333751.6487665</v>
      </c>
      <c r="F171" s="3">
        <v>397850.34900229401</v>
      </c>
      <c r="G171" s="3">
        <v>450456.58311176999</v>
      </c>
      <c r="H171" s="3">
        <v>503062.81722124602</v>
      </c>
      <c r="I171" s="3">
        <v>467176.48938568903</v>
      </c>
      <c r="J171" s="3">
        <v>431290.16155013302</v>
      </c>
      <c r="K171" s="3">
        <v>448273.34407573199</v>
      </c>
      <c r="L171" s="3">
        <v>465256.52660133102</v>
      </c>
      <c r="M171" s="3">
        <v>422310.29001980199</v>
      </c>
      <c r="N171" s="3">
        <v>379364.05343827303</v>
      </c>
      <c r="O171" s="3">
        <v>352225.214680376</v>
      </c>
      <c r="P171" s="3">
        <v>325086.37592247798</v>
      </c>
      <c r="Q171" s="3">
        <v>263957.933189306</v>
      </c>
      <c r="R171" s="3">
        <v>202829.49045613297</v>
      </c>
      <c r="S171" s="3">
        <v>0</v>
      </c>
    </row>
    <row r="173" spans="1:21" x14ac:dyDescent="0.3">
      <c r="A173">
        <v>5</v>
      </c>
      <c r="B173" s="110"/>
    </row>
    <row r="174" spans="1:21" x14ac:dyDescent="0.3">
      <c r="A174" s="45" t="s">
        <v>89</v>
      </c>
      <c r="B174" s="43"/>
    </row>
    <row r="175" spans="1:21" x14ac:dyDescent="0.3">
      <c r="A175" s="43"/>
      <c r="B175" s="43" t="s">
        <v>91</v>
      </c>
      <c r="D175">
        <v>11</v>
      </c>
      <c r="E175" t="s">
        <v>4</v>
      </c>
    </row>
    <row r="176" spans="1:21" x14ac:dyDescent="0.3">
      <c r="A176" s="43"/>
      <c r="B176" s="43" t="s">
        <v>93</v>
      </c>
      <c r="D176">
        <f>3.34*2</f>
        <v>6.68</v>
      </c>
      <c r="E176" t="s">
        <v>4</v>
      </c>
    </row>
    <row r="177" spans="1:21" x14ac:dyDescent="0.3">
      <c r="A177" s="43"/>
      <c r="B177" s="43" t="s">
        <v>124</v>
      </c>
      <c r="D177" s="6">
        <f>(D175/2)^2*PI()*D176</f>
        <v>634.82162751088947</v>
      </c>
      <c r="E177" t="s">
        <v>5</v>
      </c>
    </row>
    <row r="178" spans="1:21" x14ac:dyDescent="0.3">
      <c r="A178" s="43"/>
      <c r="B178" s="43" t="s">
        <v>12</v>
      </c>
      <c r="D178">
        <v>0</v>
      </c>
      <c r="E178" t="s">
        <v>125</v>
      </c>
    </row>
    <row r="179" spans="1:21" x14ac:dyDescent="0.3">
      <c r="A179" s="43"/>
      <c r="B179" s="43" t="s">
        <v>126</v>
      </c>
      <c r="D179">
        <v>0.1</v>
      </c>
    </row>
    <row r="180" spans="1:21" x14ac:dyDescent="0.3">
      <c r="B180" s="43" t="s">
        <v>127</v>
      </c>
      <c r="D180">
        <v>0.1</v>
      </c>
    </row>
    <row r="181" spans="1:21" x14ac:dyDescent="0.3">
      <c r="B181" s="43" t="s">
        <v>145</v>
      </c>
      <c r="D181">
        <v>1</v>
      </c>
    </row>
    <row r="183" spans="1:21" x14ac:dyDescent="0.3">
      <c r="A183" s="7" t="s">
        <v>18</v>
      </c>
    </row>
    <row r="184" spans="1:21" x14ac:dyDescent="0.3">
      <c r="B184" s="43"/>
      <c r="C184" s="43"/>
      <c r="D184" s="43" t="s">
        <v>117</v>
      </c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21" x14ac:dyDescent="0.3">
      <c r="B185" s="43"/>
      <c r="C185" s="75"/>
      <c r="D185" s="76">
        <v>4.5</v>
      </c>
      <c r="E185" s="76">
        <v>5.5</v>
      </c>
      <c r="F185" s="76">
        <v>6.5</v>
      </c>
      <c r="G185" s="76">
        <v>7.5</v>
      </c>
      <c r="H185" s="76">
        <v>8.5</v>
      </c>
      <c r="I185" s="76">
        <v>9.5</v>
      </c>
      <c r="J185" s="76">
        <v>10.5</v>
      </c>
      <c r="K185" s="76">
        <v>11.5</v>
      </c>
      <c r="L185" s="76">
        <v>12.5</v>
      </c>
      <c r="M185" s="76">
        <v>13.5</v>
      </c>
      <c r="N185" s="76">
        <v>14.5</v>
      </c>
      <c r="O185" s="76">
        <v>15.5</v>
      </c>
      <c r="P185" s="76">
        <v>16.5</v>
      </c>
      <c r="Q185" s="76">
        <v>17.5</v>
      </c>
      <c r="R185" s="76">
        <v>18.5</v>
      </c>
      <c r="S185" s="76">
        <v>19.5</v>
      </c>
    </row>
    <row r="186" spans="1:21" x14ac:dyDescent="0.3">
      <c r="B186" s="43" t="s">
        <v>118</v>
      </c>
      <c r="C186" s="77">
        <v>0.25</v>
      </c>
      <c r="D186" s="3">
        <v>422.72095977158301</v>
      </c>
      <c r="E186" s="3">
        <v>1331.85754107094</v>
      </c>
      <c r="F186" s="3">
        <v>2240.9941223702899</v>
      </c>
      <c r="G186" s="3">
        <v>2963.6305697960797</v>
      </c>
      <c r="H186" s="3">
        <v>3686.26701722188</v>
      </c>
      <c r="I186" s="3">
        <v>4171.1224236224798</v>
      </c>
      <c r="J186" s="3">
        <v>4655.9778300230801</v>
      </c>
      <c r="K186" s="3">
        <v>4219.4059149507702</v>
      </c>
      <c r="L186" s="3">
        <v>3782.83399987846</v>
      </c>
      <c r="M186" s="3">
        <v>3747.0066431278897</v>
      </c>
      <c r="N186" s="3">
        <v>3711.1792863773298</v>
      </c>
      <c r="O186" s="3">
        <v>3320.7382397246097</v>
      </c>
      <c r="P186" s="3">
        <v>2930.29719307189</v>
      </c>
      <c r="Q186" s="3">
        <v>2696.4260584592103</v>
      </c>
      <c r="R186" s="3">
        <v>2462.5549238465201</v>
      </c>
      <c r="S186" s="3">
        <v>0</v>
      </c>
      <c r="U186">
        <v>0.42272095977158303</v>
      </c>
    </row>
    <row r="187" spans="1:21" x14ac:dyDescent="0.3">
      <c r="B187" s="43"/>
      <c r="C187" s="77">
        <v>0.75</v>
      </c>
      <c r="D187" s="3">
        <v>6179.0069843765796</v>
      </c>
      <c r="E187" s="3">
        <v>16464.599188056098</v>
      </c>
      <c r="F187" s="3">
        <v>26750.191391735701</v>
      </c>
      <c r="G187" s="3">
        <v>33645.118965814494</v>
      </c>
      <c r="H187" s="3">
        <v>40540.046539893199</v>
      </c>
      <c r="I187" s="3">
        <v>47661.1329464558</v>
      </c>
      <c r="J187" s="3">
        <v>54782.219353018496</v>
      </c>
      <c r="K187" s="3">
        <v>49784.310901605997</v>
      </c>
      <c r="L187" s="3">
        <v>44786.4024501936</v>
      </c>
      <c r="M187" s="3">
        <v>45239.782587453301</v>
      </c>
      <c r="N187" s="3">
        <v>45693.1627247129</v>
      </c>
      <c r="O187" s="3">
        <v>40965.426061760299</v>
      </c>
      <c r="P187" s="3">
        <v>36237.689398807706</v>
      </c>
      <c r="Q187" s="3">
        <v>30899.905341065099</v>
      </c>
      <c r="R187" s="3">
        <v>25562.121283322602</v>
      </c>
      <c r="S187" s="3">
        <v>0</v>
      </c>
      <c r="U187">
        <v>6.1790069843765796</v>
      </c>
    </row>
    <row r="188" spans="1:21" x14ac:dyDescent="0.3">
      <c r="B188" s="43"/>
      <c r="C188" s="77">
        <v>1.25</v>
      </c>
      <c r="D188" s="3">
        <v>11935.2930089816</v>
      </c>
      <c r="E188" s="3">
        <v>31597.340835041301</v>
      </c>
      <c r="F188" s="3">
        <v>51259.388661101097</v>
      </c>
      <c r="G188" s="3">
        <v>64326.607361832801</v>
      </c>
      <c r="H188" s="3">
        <v>77393.826062564593</v>
      </c>
      <c r="I188" s="3">
        <v>91151.143469289193</v>
      </c>
      <c r="J188" s="3">
        <v>104908.46087601401</v>
      </c>
      <c r="K188" s="3">
        <v>95349.2158882613</v>
      </c>
      <c r="L188" s="3">
        <v>85789.970900508808</v>
      </c>
      <c r="M188" s="3">
        <v>86732.55853177869</v>
      </c>
      <c r="N188" s="3">
        <v>87675.146163048499</v>
      </c>
      <c r="O188" s="3">
        <v>78610.113883796002</v>
      </c>
      <c r="P188" s="3">
        <v>69545.081604543404</v>
      </c>
      <c r="Q188" s="3">
        <v>59103.384623670994</v>
      </c>
      <c r="R188" s="3">
        <v>48661.687642798599</v>
      </c>
      <c r="S188" s="3">
        <v>0</v>
      </c>
      <c r="U188">
        <v>11.935293008981599</v>
      </c>
    </row>
    <row r="189" spans="1:21" x14ac:dyDescent="0.3">
      <c r="B189" s="43"/>
      <c r="C189" s="77">
        <v>1.75</v>
      </c>
      <c r="D189" s="3">
        <v>22017.150026113002</v>
      </c>
      <c r="E189" s="3">
        <v>63429.368028346304</v>
      </c>
      <c r="F189" s="3">
        <v>104841.58603058</v>
      </c>
      <c r="G189" s="3">
        <v>153493.621835867</v>
      </c>
      <c r="H189" s="3">
        <v>202145.65764115402</v>
      </c>
      <c r="I189" s="3">
        <v>219199.488722432</v>
      </c>
      <c r="J189" s="3">
        <v>236253.319803711</v>
      </c>
      <c r="K189" s="3">
        <v>216138.89662490701</v>
      </c>
      <c r="L189" s="3">
        <v>196024.47344610299</v>
      </c>
      <c r="M189" s="3">
        <v>203369.656243454</v>
      </c>
      <c r="N189" s="3">
        <v>210714.839040805</v>
      </c>
      <c r="O189" s="3">
        <v>168666.79774228699</v>
      </c>
      <c r="P189" s="3">
        <v>126618.75644376999</v>
      </c>
      <c r="Q189" s="3">
        <v>104717.37003165801</v>
      </c>
      <c r="R189" s="3">
        <v>82815.983619545499</v>
      </c>
      <c r="S189" s="3">
        <v>0</v>
      </c>
      <c r="U189">
        <v>22.017150026113001</v>
      </c>
    </row>
    <row r="190" spans="1:21" x14ac:dyDescent="0.3">
      <c r="B190" s="43"/>
      <c r="C190" s="77">
        <v>2.25</v>
      </c>
      <c r="D190" s="3">
        <v>32099.007043244499</v>
      </c>
      <c r="E190" s="3">
        <v>95261.395221651197</v>
      </c>
      <c r="F190" s="3">
        <v>158423.78340005799</v>
      </c>
      <c r="G190" s="3">
        <v>242660.6363099</v>
      </c>
      <c r="H190" s="3">
        <v>326897.48921974201</v>
      </c>
      <c r="I190" s="3">
        <v>347247.83397557499</v>
      </c>
      <c r="J190" s="3">
        <v>367598.17873140704</v>
      </c>
      <c r="K190" s="3">
        <v>336928.57736155298</v>
      </c>
      <c r="L190" s="3">
        <v>306258.97599169798</v>
      </c>
      <c r="M190" s="3">
        <v>320006.75395513</v>
      </c>
      <c r="N190" s="3">
        <v>333754.53191856202</v>
      </c>
      <c r="O190" s="3">
        <v>258723.48160077899</v>
      </c>
      <c r="P190" s="3">
        <v>183692.43128299603</v>
      </c>
      <c r="Q190" s="3">
        <v>150331.35543964399</v>
      </c>
      <c r="R190" s="3">
        <v>116970.27959629201</v>
      </c>
      <c r="S190" s="3">
        <v>0</v>
      </c>
      <c r="U190">
        <v>32.099007043244498</v>
      </c>
    </row>
    <row r="191" spans="1:21" x14ac:dyDescent="0.3">
      <c r="B191" s="43"/>
      <c r="C191" s="77">
        <v>2.75</v>
      </c>
      <c r="D191" s="3">
        <v>56463.0123677671</v>
      </c>
      <c r="E191" s="3">
        <v>158639.14978040798</v>
      </c>
      <c r="F191" s="3">
        <v>260815.28719304799</v>
      </c>
      <c r="G191" s="3">
        <v>379758.01752479404</v>
      </c>
      <c r="H191" s="3">
        <v>498700.74785653903</v>
      </c>
      <c r="I191" s="3">
        <v>528990.28130479308</v>
      </c>
      <c r="J191" s="3">
        <v>559279.81475304707</v>
      </c>
      <c r="K191" s="3">
        <v>556331.32629032503</v>
      </c>
      <c r="L191" s="3">
        <v>553382.83782760194</v>
      </c>
      <c r="M191" s="3">
        <v>493965.30777295999</v>
      </c>
      <c r="N191" s="3">
        <v>434547.77771831799</v>
      </c>
      <c r="O191" s="3">
        <v>382685.96017547301</v>
      </c>
      <c r="P191" s="3">
        <v>330824.14263262897</v>
      </c>
      <c r="Q191" s="3">
        <v>279155.094290693</v>
      </c>
      <c r="R191" s="3">
        <v>227486.045948757</v>
      </c>
      <c r="S191" s="3">
        <v>0</v>
      </c>
      <c r="U191">
        <v>56.463012367767099</v>
      </c>
    </row>
    <row r="192" spans="1:21" x14ac:dyDescent="0.3">
      <c r="B192" s="43"/>
      <c r="C192" s="77">
        <v>3.25</v>
      </c>
      <c r="D192" s="3">
        <v>80827.017692289606</v>
      </c>
      <c r="E192" s="3">
        <v>222016.904339164</v>
      </c>
      <c r="F192" s="3">
        <v>363206.79098603898</v>
      </c>
      <c r="G192" s="3">
        <v>516855.39873968693</v>
      </c>
      <c r="H192" s="3">
        <v>670504.00649333501</v>
      </c>
      <c r="I192" s="3">
        <v>710732.728634011</v>
      </c>
      <c r="J192" s="3">
        <v>750961.45077468699</v>
      </c>
      <c r="K192" s="3">
        <v>775734.07521909697</v>
      </c>
      <c r="L192" s="3">
        <v>800506.69966350601</v>
      </c>
      <c r="M192" s="3">
        <v>667923.86159078998</v>
      </c>
      <c r="N192" s="3">
        <v>535341.02351807302</v>
      </c>
      <c r="O192" s="3">
        <v>506648.43875016802</v>
      </c>
      <c r="P192" s="3">
        <v>477955.85398226202</v>
      </c>
      <c r="Q192" s="3">
        <v>407978.83314174198</v>
      </c>
      <c r="R192" s="3">
        <v>338001.812301222</v>
      </c>
      <c r="S192" s="3">
        <v>0</v>
      </c>
      <c r="U192">
        <v>80.827017692289601</v>
      </c>
    </row>
    <row r="193" spans="1:21" x14ac:dyDescent="0.3">
      <c r="B193" s="43"/>
      <c r="C193" s="77">
        <v>3.75</v>
      </c>
      <c r="D193" s="3">
        <v>108100.80200291899</v>
      </c>
      <c r="E193" s="3">
        <v>275075.69194786705</v>
      </c>
      <c r="F193" s="3">
        <v>442050.581892816</v>
      </c>
      <c r="G193" s="3">
        <v>659096.91639734502</v>
      </c>
      <c r="H193" s="3">
        <v>876143.25090187404</v>
      </c>
      <c r="I193" s="3">
        <v>929948.71472479997</v>
      </c>
      <c r="J193" s="3">
        <v>983754.17854772601</v>
      </c>
      <c r="K193" s="3">
        <v>965081.42481462297</v>
      </c>
      <c r="L193" s="3">
        <v>946408.67108151899</v>
      </c>
      <c r="M193" s="3">
        <v>886533.33607150801</v>
      </c>
      <c r="N193" s="3">
        <v>826658.00106149702</v>
      </c>
      <c r="O193" s="3">
        <v>697090.47814502695</v>
      </c>
      <c r="P193" s="3">
        <v>567522.955228557</v>
      </c>
      <c r="Q193" s="3">
        <v>522201.29208835203</v>
      </c>
      <c r="R193" s="3">
        <v>476879.628948147</v>
      </c>
      <c r="S193" s="3">
        <v>0</v>
      </c>
      <c r="U193">
        <v>108.100802002919</v>
      </c>
    </row>
    <row r="194" spans="1:21" x14ac:dyDescent="0.3">
      <c r="B194" s="43"/>
      <c r="C194" s="77">
        <v>4.25</v>
      </c>
      <c r="D194" s="3">
        <v>135374.586313548</v>
      </c>
      <c r="E194" s="3">
        <v>328134.47955657099</v>
      </c>
      <c r="F194" s="3">
        <v>520894.37279959302</v>
      </c>
      <c r="G194" s="3">
        <v>801338.43405500299</v>
      </c>
      <c r="H194" s="3">
        <v>1081782.4953104099</v>
      </c>
      <c r="I194" s="3">
        <v>1149164.7008155901</v>
      </c>
      <c r="J194" s="3">
        <v>1216546.90632077</v>
      </c>
      <c r="K194" s="3">
        <v>1154428.77441015</v>
      </c>
      <c r="L194" s="3">
        <v>1092310.64249953</v>
      </c>
      <c r="M194" s="3">
        <v>1105142.8105522301</v>
      </c>
      <c r="N194" s="3">
        <v>1117974.97860492</v>
      </c>
      <c r="O194" s="3">
        <v>887532.51753988606</v>
      </c>
      <c r="P194" s="3">
        <v>657090.05647485191</v>
      </c>
      <c r="Q194" s="3">
        <v>636423.75103496201</v>
      </c>
      <c r="R194" s="3">
        <v>615757.445595072</v>
      </c>
      <c r="S194" s="3">
        <v>0</v>
      </c>
      <c r="U194">
        <v>135.37458631354801</v>
      </c>
    </row>
    <row r="195" spans="1:21" x14ac:dyDescent="0.3">
      <c r="B195" s="43"/>
      <c r="C195" s="77">
        <v>4.75</v>
      </c>
      <c r="D195" s="3">
        <v>186083.83956377101</v>
      </c>
      <c r="E195" s="3">
        <v>428844.99912926496</v>
      </c>
      <c r="F195" s="3">
        <v>671606.15869475901</v>
      </c>
      <c r="G195" s="3">
        <v>1004916.89315356</v>
      </c>
      <c r="H195" s="3">
        <v>1338227.62761235</v>
      </c>
      <c r="I195" s="3">
        <v>1446091.4926942401</v>
      </c>
      <c r="J195" s="3">
        <v>1553955.3577761301</v>
      </c>
      <c r="K195" s="3">
        <v>1498054.2070867601</v>
      </c>
      <c r="L195" s="3">
        <v>1442153.0563973899</v>
      </c>
      <c r="M195" s="3">
        <v>1378733.3755529302</v>
      </c>
      <c r="N195" s="3">
        <v>1315313.69470846</v>
      </c>
      <c r="O195" s="3">
        <v>1136062.0189473799</v>
      </c>
      <c r="P195" s="3">
        <v>956810.34318630502</v>
      </c>
      <c r="Q195" s="3">
        <v>859880.26332660904</v>
      </c>
      <c r="R195" s="3">
        <v>762950.18346691201</v>
      </c>
      <c r="S195" s="3">
        <v>0</v>
      </c>
      <c r="U195">
        <v>186.08383956377099</v>
      </c>
    </row>
    <row r="196" spans="1:21" x14ac:dyDescent="0.3">
      <c r="B196" s="43"/>
      <c r="C196" s="77">
        <v>5.25</v>
      </c>
      <c r="D196" s="3">
        <v>236793.09281399401</v>
      </c>
      <c r="E196" s="3">
        <v>529555.51870195905</v>
      </c>
      <c r="F196" s="3">
        <v>822317.944589925</v>
      </c>
      <c r="G196" s="3">
        <v>1208495.3522521099</v>
      </c>
      <c r="H196" s="3">
        <v>1594672.7599143002</v>
      </c>
      <c r="I196" s="3">
        <v>1743018.2845729</v>
      </c>
      <c r="J196" s="3">
        <v>1891363.8092314999</v>
      </c>
      <c r="K196" s="3">
        <v>1841679.6397633799</v>
      </c>
      <c r="L196" s="3">
        <v>1791995.47029525</v>
      </c>
      <c r="M196" s="3">
        <v>1652323.94055363</v>
      </c>
      <c r="N196" s="3">
        <v>1512652.410812</v>
      </c>
      <c r="O196" s="3">
        <v>1384591.52035488</v>
      </c>
      <c r="P196" s="3">
        <v>1256530.62989776</v>
      </c>
      <c r="Q196" s="3">
        <v>1083336.77561826</v>
      </c>
      <c r="R196" s="3">
        <v>910142.92133875203</v>
      </c>
      <c r="S196" s="3">
        <v>0</v>
      </c>
      <c r="U196">
        <v>236.79309281399401</v>
      </c>
    </row>
    <row r="197" spans="1:21" x14ac:dyDescent="0.3">
      <c r="B197" s="43"/>
      <c r="C197" s="77">
        <v>5.75</v>
      </c>
      <c r="D197" s="3">
        <v>263445.44587359397</v>
      </c>
      <c r="E197" s="3">
        <v>617714.541108859</v>
      </c>
      <c r="F197" s="3">
        <v>971983.63634412398</v>
      </c>
      <c r="G197" s="3">
        <v>1423050.7812274799</v>
      </c>
      <c r="H197" s="3">
        <v>1874117.9261108299</v>
      </c>
      <c r="I197" s="3">
        <v>2062585.75857289</v>
      </c>
      <c r="J197" s="3">
        <v>2251053.59103494</v>
      </c>
      <c r="K197" s="3">
        <v>2190014.5775363399</v>
      </c>
      <c r="L197" s="3">
        <v>2128975.56403773</v>
      </c>
      <c r="M197" s="3">
        <v>2037224.01185959</v>
      </c>
      <c r="N197" s="3">
        <v>1945472.4596814499</v>
      </c>
      <c r="O197" s="3">
        <v>1684448.63692066</v>
      </c>
      <c r="P197" s="3">
        <v>1423424.8141598601</v>
      </c>
      <c r="Q197" s="3">
        <v>1207555.9714019601</v>
      </c>
      <c r="R197" s="3">
        <v>991687.12864405802</v>
      </c>
      <c r="S197" s="3">
        <v>0</v>
      </c>
      <c r="U197">
        <v>263.445445873594</v>
      </c>
    </row>
    <row r="198" spans="1:21" x14ac:dyDescent="0.3">
      <c r="B198" s="43"/>
      <c r="C198" s="77">
        <v>6.25</v>
      </c>
      <c r="D198" s="3">
        <v>290097.79893319396</v>
      </c>
      <c r="E198" s="3">
        <v>705873.56351575791</v>
      </c>
      <c r="F198" s="3">
        <v>1121649.3280983199</v>
      </c>
      <c r="G198" s="3">
        <v>1637606.2102028499</v>
      </c>
      <c r="H198" s="3">
        <v>2153563.0923073702</v>
      </c>
      <c r="I198" s="3">
        <v>2382153.2325728801</v>
      </c>
      <c r="J198" s="3">
        <v>2610743.3728383901</v>
      </c>
      <c r="K198" s="3">
        <v>2538349.51530929</v>
      </c>
      <c r="L198" s="3">
        <v>2465955.6577801998</v>
      </c>
      <c r="M198" s="3">
        <v>2422124.0831655501</v>
      </c>
      <c r="N198" s="3">
        <v>2378292.5085509098</v>
      </c>
      <c r="O198" s="3">
        <v>1984305.7534864398</v>
      </c>
      <c r="P198" s="3">
        <v>1590318.9984219701</v>
      </c>
      <c r="Q198" s="3">
        <v>1331775.16718567</v>
      </c>
      <c r="R198" s="3">
        <v>1073231.3359493602</v>
      </c>
      <c r="S198" s="3">
        <v>0</v>
      </c>
      <c r="U198">
        <v>290.09779893319399</v>
      </c>
    </row>
    <row r="199" spans="1:21" x14ac:dyDescent="0.3">
      <c r="B199" s="43"/>
      <c r="C199" s="77">
        <v>6.75</v>
      </c>
      <c r="D199" s="3">
        <v>290097.79893319396</v>
      </c>
      <c r="E199" s="3">
        <v>705873.56351575791</v>
      </c>
      <c r="F199" s="3">
        <v>1121649.3280983199</v>
      </c>
      <c r="G199" s="3">
        <v>1637606.2102028499</v>
      </c>
      <c r="H199" s="3">
        <v>2153563.0923073702</v>
      </c>
      <c r="I199" s="3">
        <v>2382153.2325728801</v>
      </c>
      <c r="J199" s="3">
        <v>2610743.3728383901</v>
      </c>
      <c r="K199" s="3">
        <v>2538349.51530929</v>
      </c>
      <c r="L199" s="3">
        <v>2465955.6577801998</v>
      </c>
      <c r="M199" s="3">
        <v>2422124.0831655501</v>
      </c>
      <c r="N199" s="3">
        <v>2378292.5085509098</v>
      </c>
      <c r="O199" s="3">
        <v>1984305.7534864398</v>
      </c>
      <c r="P199" s="3">
        <v>1590318.9984219701</v>
      </c>
      <c r="Q199" s="3">
        <v>1331775.16718567</v>
      </c>
      <c r="R199" s="3">
        <v>1073231.3359493602</v>
      </c>
      <c r="S199" s="3">
        <v>0</v>
      </c>
    </row>
    <row r="200" spans="1:21" x14ac:dyDescent="0.3">
      <c r="B200" s="43"/>
      <c r="C200" s="77">
        <v>7.25</v>
      </c>
      <c r="D200" s="3">
        <v>290097.79893319396</v>
      </c>
      <c r="E200" s="3">
        <v>705873.56351575791</v>
      </c>
      <c r="F200" s="3">
        <v>1121649.3280983199</v>
      </c>
      <c r="G200" s="3">
        <v>1637606.2102028499</v>
      </c>
      <c r="H200" s="3">
        <v>2153563.0923073702</v>
      </c>
      <c r="I200" s="3">
        <v>2382153.2325728801</v>
      </c>
      <c r="J200" s="3">
        <v>2610743.3728383901</v>
      </c>
      <c r="K200" s="3">
        <v>2538349.51530929</v>
      </c>
      <c r="L200" s="3">
        <v>2465955.6577801998</v>
      </c>
      <c r="M200" s="3">
        <v>2422124.0831655501</v>
      </c>
      <c r="N200" s="3">
        <v>2378292.5085509098</v>
      </c>
      <c r="O200" s="3">
        <v>1984305.7534864398</v>
      </c>
      <c r="P200" s="3">
        <v>1590318.9984219701</v>
      </c>
      <c r="Q200" s="3">
        <v>1331775.16718567</v>
      </c>
      <c r="R200" s="3">
        <v>1073231.3359493602</v>
      </c>
      <c r="S200" s="3">
        <v>0</v>
      </c>
    </row>
    <row r="201" spans="1:21" x14ac:dyDescent="0.3">
      <c r="B201" s="43"/>
      <c r="C201" s="77">
        <v>7.75</v>
      </c>
      <c r="D201" s="3">
        <v>290097.79893319396</v>
      </c>
      <c r="E201" s="3">
        <v>705873.56351575791</v>
      </c>
      <c r="F201" s="3">
        <v>1121649.3280983199</v>
      </c>
      <c r="G201" s="3">
        <v>1637606.2102028499</v>
      </c>
      <c r="H201" s="3">
        <v>2153563.0923073702</v>
      </c>
      <c r="I201" s="3">
        <v>2382153.2325728801</v>
      </c>
      <c r="J201" s="3">
        <v>2610743.3728383901</v>
      </c>
      <c r="K201" s="3">
        <v>2538349.51530929</v>
      </c>
      <c r="L201" s="3">
        <v>2465955.6577801998</v>
      </c>
      <c r="M201" s="3">
        <v>2422124.0831655501</v>
      </c>
      <c r="N201" s="3">
        <v>2378292.5085509098</v>
      </c>
      <c r="O201" s="3">
        <v>1984305.7534864398</v>
      </c>
      <c r="P201" s="3">
        <v>1590318.9984219701</v>
      </c>
      <c r="Q201" s="3">
        <v>1331775.16718567</v>
      </c>
      <c r="R201" s="3">
        <v>1073231.3359493602</v>
      </c>
      <c r="S201" s="3">
        <v>0</v>
      </c>
    </row>
    <row r="202" spans="1:21" x14ac:dyDescent="0.3">
      <c r="B202" s="43"/>
      <c r="C202" s="77">
        <v>8.25</v>
      </c>
      <c r="D202" s="3">
        <v>290097.79893319396</v>
      </c>
      <c r="E202" s="3">
        <v>705873.56351575791</v>
      </c>
      <c r="F202" s="3">
        <v>1121649.3280983199</v>
      </c>
      <c r="G202" s="3">
        <v>1637606.2102028499</v>
      </c>
      <c r="H202" s="3">
        <v>2153563.0923073702</v>
      </c>
      <c r="I202" s="3">
        <v>2382153.2325728801</v>
      </c>
      <c r="J202" s="3">
        <v>2610743.3728383901</v>
      </c>
      <c r="K202" s="3">
        <v>2538349.51530929</v>
      </c>
      <c r="L202" s="3">
        <v>2465955.6577801998</v>
      </c>
      <c r="M202" s="3">
        <v>2422124.0831655501</v>
      </c>
      <c r="N202" s="3">
        <v>2378292.5085509098</v>
      </c>
      <c r="O202" s="3">
        <v>1984305.7534864398</v>
      </c>
      <c r="P202" s="3">
        <v>1590318.9984219701</v>
      </c>
      <c r="Q202" s="3">
        <v>1331775.16718567</v>
      </c>
      <c r="R202" s="3">
        <v>1073231.3359493602</v>
      </c>
      <c r="S202" s="3">
        <v>0</v>
      </c>
    </row>
    <row r="203" spans="1:21" x14ac:dyDescent="0.3">
      <c r="B203" s="43"/>
      <c r="C203" s="77">
        <v>8.75</v>
      </c>
      <c r="D203" s="3">
        <v>290097.79893319396</v>
      </c>
      <c r="E203" s="3">
        <v>705873.56351575791</v>
      </c>
      <c r="F203" s="3">
        <v>1121649.3280983199</v>
      </c>
      <c r="G203" s="3">
        <v>1637606.2102028499</v>
      </c>
      <c r="H203" s="3">
        <v>2153563.0923073702</v>
      </c>
      <c r="I203" s="3">
        <v>2382153.2325728801</v>
      </c>
      <c r="J203" s="3">
        <v>2610743.3728383901</v>
      </c>
      <c r="K203" s="3">
        <v>2538349.51530929</v>
      </c>
      <c r="L203" s="3">
        <v>2465955.6577801998</v>
      </c>
      <c r="M203" s="3">
        <v>2422124.0831655501</v>
      </c>
      <c r="N203" s="3">
        <v>2378292.5085509098</v>
      </c>
      <c r="O203" s="3">
        <v>1984305.7534864398</v>
      </c>
      <c r="P203" s="3">
        <v>1590318.9984219701</v>
      </c>
      <c r="Q203" s="3">
        <v>1331775.16718567</v>
      </c>
      <c r="R203" s="3">
        <v>1073231.3359493602</v>
      </c>
      <c r="S203" s="3">
        <v>0</v>
      </c>
    </row>
    <row r="204" spans="1:21" x14ac:dyDescent="0.3">
      <c r="B204" s="43"/>
      <c r="C204" s="77">
        <v>9.25</v>
      </c>
      <c r="D204" s="3">
        <v>290097.79893319396</v>
      </c>
      <c r="E204" s="3">
        <v>705873.56351575791</v>
      </c>
      <c r="F204" s="3">
        <v>1121649.3280983199</v>
      </c>
      <c r="G204" s="3">
        <v>1637606.2102028499</v>
      </c>
      <c r="H204" s="3">
        <v>2153563.0923073702</v>
      </c>
      <c r="I204" s="3">
        <v>2382153.2325728801</v>
      </c>
      <c r="J204" s="3">
        <v>2610743.3728383901</v>
      </c>
      <c r="K204" s="3">
        <v>2538349.51530929</v>
      </c>
      <c r="L204" s="3">
        <v>2465955.6577801998</v>
      </c>
      <c r="M204" s="3">
        <v>2422124.0831655501</v>
      </c>
      <c r="N204" s="3">
        <v>2378292.5085509098</v>
      </c>
      <c r="O204" s="3">
        <v>1984305.7534864398</v>
      </c>
      <c r="P204" s="3">
        <v>1590318.9984219701</v>
      </c>
      <c r="Q204" s="3">
        <v>1331775.16718567</v>
      </c>
      <c r="R204" s="3">
        <v>1073231.3359493602</v>
      </c>
      <c r="S204" s="3">
        <v>0</v>
      </c>
    </row>
    <row r="205" spans="1:21" x14ac:dyDescent="0.3">
      <c r="B205" s="43"/>
      <c r="C205" s="77">
        <v>9.75</v>
      </c>
      <c r="D205" s="3">
        <v>290097.79893319396</v>
      </c>
      <c r="E205" s="3">
        <v>705873.56351575791</v>
      </c>
      <c r="F205" s="3">
        <v>1121649.3280983199</v>
      </c>
      <c r="G205" s="3">
        <v>1637606.2102028499</v>
      </c>
      <c r="H205" s="3">
        <v>2153563.0923073702</v>
      </c>
      <c r="I205" s="3">
        <v>2382153.2325728801</v>
      </c>
      <c r="J205" s="3">
        <v>2610743.3728383901</v>
      </c>
      <c r="K205" s="3">
        <v>2538349.51530929</v>
      </c>
      <c r="L205" s="3">
        <v>2465955.6577801998</v>
      </c>
      <c r="M205" s="3">
        <v>2422124.0831655501</v>
      </c>
      <c r="N205" s="3">
        <v>2378292.5085509098</v>
      </c>
      <c r="O205" s="3">
        <v>1984305.7534864398</v>
      </c>
      <c r="P205" s="3">
        <v>1590318.9984219701</v>
      </c>
      <c r="Q205" s="3">
        <v>1331775.16718567</v>
      </c>
      <c r="R205" s="3">
        <v>1073231.3359493602</v>
      </c>
      <c r="S205" s="3">
        <v>0</v>
      </c>
    </row>
    <row r="207" spans="1:21" x14ac:dyDescent="0.3">
      <c r="A207">
        <v>6</v>
      </c>
      <c r="B207" s="110"/>
    </row>
    <row r="208" spans="1:21" x14ac:dyDescent="0.3">
      <c r="A208" s="45" t="s">
        <v>89</v>
      </c>
      <c r="B208" s="43"/>
    </row>
    <row r="209" spans="1:21" x14ac:dyDescent="0.3">
      <c r="A209" s="43"/>
      <c r="B209" s="43" t="s">
        <v>91</v>
      </c>
      <c r="D209">
        <v>2</v>
      </c>
      <c r="E209" t="s">
        <v>4</v>
      </c>
    </row>
    <row r="210" spans="1:21" x14ac:dyDescent="0.3">
      <c r="A210" s="43"/>
      <c r="B210" s="43" t="s">
        <v>93</v>
      </c>
      <c r="D210">
        <v>1</v>
      </c>
      <c r="E210" t="s">
        <v>4</v>
      </c>
    </row>
    <row r="211" spans="1:21" x14ac:dyDescent="0.3">
      <c r="A211" s="43"/>
      <c r="B211" s="43" t="s">
        <v>124</v>
      </c>
      <c r="D211" s="6">
        <f>(D209/2)^2*PI()*D210</f>
        <v>3.1415926535897931</v>
      </c>
      <c r="E211" t="s">
        <v>5</v>
      </c>
    </row>
    <row r="212" spans="1:21" x14ac:dyDescent="0.3">
      <c r="A212" s="43"/>
      <c r="B212" s="43" t="s">
        <v>12</v>
      </c>
      <c r="D212">
        <v>0</v>
      </c>
      <c r="E212" t="s">
        <v>125</v>
      </c>
    </row>
    <row r="213" spans="1:21" x14ac:dyDescent="0.3">
      <c r="A213" s="43"/>
      <c r="B213" s="43" t="s">
        <v>126</v>
      </c>
      <c r="D213">
        <v>0.1</v>
      </c>
    </row>
    <row r="214" spans="1:21" x14ac:dyDescent="0.3">
      <c r="B214" s="43" t="s">
        <v>127</v>
      </c>
      <c r="D214">
        <v>0.1</v>
      </c>
    </row>
    <row r="215" spans="1:21" x14ac:dyDescent="0.3">
      <c r="B215" s="43" t="s">
        <v>145</v>
      </c>
      <c r="D215">
        <v>1</v>
      </c>
    </row>
    <row r="217" spans="1:21" x14ac:dyDescent="0.3">
      <c r="A217" s="7" t="s">
        <v>18</v>
      </c>
    </row>
    <row r="218" spans="1:21" x14ac:dyDescent="0.3">
      <c r="B218" s="43"/>
      <c r="C218" s="43"/>
      <c r="D218" s="43" t="s">
        <v>117</v>
      </c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</row>
    <row r="219" spans="1:21" x14ac:dyDescent="0.3">
      <c r="B219" s="43"/>
      <c r="C219" s="75"/>
      <c r="D219" s="76">
        <v>4.5</v>
      </c>
      <c r="E219" s="76">
        <v>5.5</v>
      </c>
      <c r="F219" s="76">
        <v>6.5</v>
      </c>
      <c r="G219" s="76">
        <v>7.5</v>
      </c>
      <c r="H219" s="76">
        <v>8.5</v>
      </c>
      <c r="I219" s="76">
        <v>9.5</v>
      </c>
      <c r="J219" s="76">
        <v>10.5</v>
      </c>
      <c r="K219" s="76">
        <v>11.5</v>
      </c>
      <c r="L219" s="76">
        <v>12.5</v>
      </c>
      <c r="M219" s="76">
        <v>13.5</v>
      </c>
      <c r="N219" s="76">
        <v>14.5</v>
      </c>
      <c r="O219" s="76">
        <v>15.5</v>
      </c>
      <c r="P219" s="76">
        <v>16.5</v>
      </c>
      <c r="Q219" s="76">
        <v>17.5</v>
      </c>
      <c r="R219" s="76">
        <v>18.5</v>
      </c>
      <c r="S219" s="76">
        <v>19.5</v>
      </c>
    </row>
    <row r="220" spans="1:21" x14ac:dyDescent="0.3">
      <c r="B220" s="43" t="s">
        <v>118</v>
      </c>
      <c r="C220" s="77">
        <v>0.25</v>
      </c>
      <c r="D220" s="3">
        <v>40.936993797358397</v>
      </c>
      <c r="E220" s="3">
        <v>41.341272097068604</v>
      </c>
      <c r="F220" s="3">
        <v>41.745550396778697</v>
      </c>
      <c r="G220" s="3">
        <v>38.0032701323994</v>
      </c>
      <c r="H220" s="3">
        <v>34.260989868020204</v>
      </c>
      <c r="I220" s="3">
        <v>33.960063892807597</v>
      </c>
      <c r="J220" s="3">
        <v>33.659137917594997</v>
      </c>
      <c r="K220" s="3">
        <v>29.7025460118513</v>
      </c>
      <c r="L220" s="3">
        <v>25.745954106107501</v>
      </c>
      <c r="M220" s="3">
        <v>25.132487277096601</v>
      </c>
      <c r="N220" s="3">
        <v>24.519020448085598</v>
      </c>
      <c r="O220" s="3">
        <v>22.219349334409397</v>
      </c>
      <c r="P220" s="3">
        <v>19.919678220733299</v>
      </c>
      <c r="Q220" s="3">
        <v>15.256784672988401</v>
      </c>
      <c r="R220" s="3">
        <v>10.5938911252435</v>
      </c>
      <c r="S220" s="3">
        <v>0</v>
      </c>
      <c r="U220">
        <v>4.0936993797358399E-2</v>
      </c>
    </row>
    <row r="221" spans="1:21" x14ac:dyDescent="0.3">
      <c r="B221" s="43"/>
      <c r="C221" s="77">
        <v>0.75</v>
      </c>
      <c r="D221" s="3">
        <v>553.17617852546493</v>
      </c>
      <c r="E221" s="3">
        <v>531.99358731467191</v>
      </c>
      <c r="F221" s="3">
        <v>510.81099610387901</v>
      </c>
      <c r="G221" s="3">
        <v>472.62127447129598</v>
      </c>
      <c r="H221" s="3">
        <v>434.43155283871397</v>
      </c>
      <c r="I221" s="3">
        <v>412.17539227478602</v>
      </c>
      <c r="J221" s="3">
        <v>389.91923171085801</v>
      </c>
      <c r="K221" s="3">
        <v>371.33514610276501</v>
      </c>
      <c r="L221" s="3">
        <v>352.75106049467195</v>
      </c>
      <c r="M221" s="3">
        <v>299.52460821887502</v>
      </c>
      <c r="N221" s="3">
        <v>246.298155943078</v>
      </c>
      <c r="O221" s="3">
        <v>237.37668260562799</v>
      </c>
      <c r="P221" s="3">
        <v>228.45520926817701</v>
      </c>
      <c r="Q221" s="3">
        <v>192.30205941308802</v>
      </c>
      <c r="R221" s="3">
        <v>156.14890955799802</v>
      </c>
      <c r="S221" s="3">
        <v>0</v>
      </c>
      <c r="U221">
        <v>0.55317617852546497</v>
      </c>
    </row>
    <row r="222" spans="1:21" x14ac:dyDescent="0.3">
      <c r="B222" s="43"/>
      <c r="C222" s="77">
        <v>1.25</v>
      </c>
      <c r="D222" s="3">
        <v>1065.4153632535699</v>
      </c>
      <c r="E222" s="3">
        <v>1022.64590253228</v>
      </c>
      <c r="F222" s="3">
        <v>979.87644181097903</v>
      </c>
      <c r="G222" s="3">
        <v>907.2392788101929</v>
      </c>
      <c r="H222" s="3">
        <v>834.60211580940802</v>
      </c>
      <c r="I222" s="3">
        <v>790.39072065676498</v>
      </c>
      <c r="J222" s="3">
        <v>746.17932550412104</v>
      </c>
      <c r="K222" s="3">
        <v>712.96774619367898</v>
      </c>
      <c r="L222" s="3">
        <v>679.75616688323703</v>
      </c>
      <c r="M222" s="3">
        <v>573.91672916065397</v>
      </c>
      <c r="N222" s="3">
        <v>468.07729143806995</v>
      </c>
      <c r="O222" s="3">
        <v>452.53401587684601</v>
      </c>
      <c r="P222" s="3">
        <v>436.99074031562202</v>
      </c>
      <c r="Q222" s="3">
        <v>369.34733415318698</v>
      </c>
      <c r="R222" s="3">
        <v>301.70392799075199</v>
      </c>
      <c r="S222" s="3">
        <v>0</v>
      </c>
      <c r="U222">
        <v>1.0654153632535699</v>
      </c>
    </row>
    <row r="223" spans="1:21" x14ac:dyDescent="0.3">
      <c r="B223" s="43"/>
      <c r="C223" s="77">
        <v>1.75</v>
      </c>
      <c r="D223" s="3">
        <v>2514.6665015509702</v>
      </c>
      <c r="E223" s="3">
        <v>2403.10088537103</v>
      </c>
      <c r="F223" s="3">
        <v>2291.5352691910898</v>
      </c>
      <c r="G223" s="3">
        <v>2120.1051280278098</v>
      </c>
      <c r="H223" s="3">
        <v>1948.67498686453</v>
      </c>
      <c r="I223" s="3">
        <v>1882.1603142940698</v>
      </c>
      <c r="J223" s="3">
        <v>1815.64564172361</v>
      </c>
      <c r="K223" s="3">
        <v>1572.37229132998</v>
      </c>
      <c r="L223" s="3">
        <v>1329.0989409363501</v>
      </c>
      <c r="M223" s="3">
        <v>1236.5778282168401</v>
      </c>
      <c r="N223" s="3">
        <v>1144.0567154973301</v>
      </c>
      <c r="O223" s="3">
        <v>958.37253717204192</v>
      </c>
      <c r="P223" s="3">
        <v>772.68835884675298</v>
      </c>
      <c r="Q223" s="3">
        <v>691.92259170286695</v>
      </c>
      <c r="R223" s="3">
        <v>611.15682455898104</v>
      </c>
      <c r="S223" s="3">
        <v>0</v>
      </c>
      <c r="U223">
        <v>2.5146665015509702</v>
      </c>
    </row>
    <row r="224" spans="1:21" x14ac:dyDescent="0.3">
      <c r="B224" s="43"/>
      <c r="C224" s="77">
        <v>2.25</v>
      </c>
      <c r="D224" s="3">
        <v>3963.9176398483701</v>
      </c>
      <c r="E224" s="3">
        <v>3783.5558682097799</v>
      </c>
      <c r="F224" s="3">
        <v>3603.1940965712001</v>
      </c>
      <c r="G224" s="3">
        <v>3332.9709772454203</v>
      </c>
      <c r="H224" s="3">
        <v>3062.74785791964</v>
      </c>
      <c r="I224" s="3">
        <v>2973.9299079313701</v>
      </c>
      <c r="J224" s="3">
        <v>2885.1119579430901</v>
      </c>
      <c r="K224" s="3">
        <v>2431.7768364662797</v>
      </c>
      <c r="L224" s="3">
        <v>1978.44171498946</v>
      </c>
      <c r="M224" s="3">
        <v>1899.23892727302</v>
      </c>
      <c r="N224" s="3">
        <v>1820.0361395565901</v>
      </c>
      <c r="O224" s="3">
        <v>1464.21105846724</v>
      </c>
      <c r="P224" s="3">
        <v>1108.38597737788</v>
      </c>
      <c r="Q224" s="3">
        <v>1014.4978492525501</v>
      </c>
      <c r="R224" s="3">
        <v>920.60972112720992</v>
      </c>
      <c r="S224" s="3">
        <v>0</v>
      </c>
      <c r="U224">
        <v>3.9639176398483702</v>
      </c>
    </row>
    <row r="225" spans="2:21" x14ac:dyDescent="0.3">
      <c r="B225" s="43"/>
      <c r="C225" s="77">
        <v>2.75</v>
      </c>
      <c r="D225" s="3">
        <v>6109.5271755428603</v>
      </c>
      <c r="E225" s="3">
        <v>5799.6461149881798</v>
      </c>
      <c r="F225" s="3">
        <v>5489.7650544335002</v>
      </c>
      <c r="G225" s="3">
        <v>5405.86402911</v>
      </c>
      <c r="H225" s="3">
        <v>5321.9630037864899</v>
      </c>
      <c r="I225" s="3">
        <v>4735.3420648246802</v>
      </c>
      <c r="J225" s="3">
        <v>4148.7211258628695</v>
      </c>
      <c r="K225" s="3">
        <v>3557.2037535214599</v>
      </c>
      <c r="L225" s="3">
        <v>2965.6863811800499</v>
      </c>
      <c r="M225" s="3">
        <v>2871.0588937626098</v>
      </c>
      <c r="N225" s="3">
        <v>2776.4314063451702</v>
      </c>
      <c r="O225" s="3">
        <v>2468.4498266505602</v>
      </c>
      <c r="P225" s="3">
        <v>2160.4682469559502</v>
      </c>
      <c r="Q225" s="3">
        <v>1826.1329629438301</v>
      </c>
      <c r="R225" s="3">
        <v>1491.7976789316999</v>
      </c>
      <c r="S225" s="3">
        <v>0</v>
      </c>
      <c r="U225">
        <v>6.1095271755428602</v>
      </c>
    </row>
    <row r="226" spans="2:21" x14ac:dyDescent="0.3">
      <c r="B226" s="43"/>
      <c r="C226" s="77">
        <v>3.25</v>
      </c>
      <c r="D226" s="3">
        <v>8255.13671123735</v>
      </c>
      <c r="E226" s="3">
        <v>7815.7363617665796</v>
      </c>
      <c r="F226" s="3">
        <v>7376.3360122958002</v>
      </c>
      <c r="G226" s="3">
        <v>7478.7570809745703</v>
      </c>
      <c r="H226" s="3">
        <v>7581.1781496533304</v>
      </c>
      <c r="I226" s="3">
        <v>6496.7542217179898</v>
      </c>
      <c r="J226" s="3">
        <v>5412.3302937826402</v>
      </c>
      <c r="K226" s="3">
        <v>4682.6306705766401</v>
      </c>
      <c r="L226" s="3">
        <v>3952.93104737064</v>
      </c>
      <c r="M226" s="3">
        <v>3842.8788602522</v>
      </c>
      <c r="N226" s="3">
        <v>3732.8266731337599</v>
      </c>
      <c r="O226" s="3">
        <v>3472.68859483389</v>
      </c>
      <c r="P226" s="3">
        <v>3212.5505165340196</v>
      </c>
      <c r="Q226" s="3">
        <v>2637.76807663511</v>
      </c>
      <c r="R226" s="3">
        <v>2062.9856367361899</v>
      </c>
      <c r="S226" s="3">
        <v>0</v>
      </c>
      <c r="U226">
        <v>8.2551367112373502</v>
      </c>
    </row>
    <row r="227" spans="2:21" x14ac:dyDescent="0.3">
      <c r="B227" s="43"/>
      <c r="C227" s="77">
        <v>3.75</v>
      </c>
      <c r="D227" s="3">
        <v>12408.3102546879</v>
      </c>
      <c r="E227" s="3">
        <v>11250.856009978999</v>
      </c>
      <c r="F227" s="3">
        <v>10093.40176527</v>
      </c>
      <c r="G227" s="3">
        <v>9869.8382385800687</v>
      </c>
      <c r="H227" s="3">
        <v>9646.2747118901007</v>
      </c>
      <c r="I227" s="3">
        <v>8508.0786472294003</v>
      </c>
      <c r="J227" s="3">
        <v>7369.8825825687099</v>
      </c>
      <c r="K227" s="3">
        <v>6362.3189669495496</v>
      </c>
      <c r="L227" s="3">
        <v>5354.7553513304001</v>
      </c>
      <c r="M227" s="3">
        <v>5032.3109049765799</v>
      </c>
      <c r="N227" s="3">
        <v>4709.8664586227505</v>
      </c>
      <c r="O227" s="3">
        <v>4337.4993665476804</v>
      </c>
      <c r="P227" s="3">
        <v>3965.1322744726099</v>
      </c>
      <c r="Q227" s="3">
        <v>3324.7608663788901</v>
      </c>
      <c r="R227" s="3">
        <v>2684.3894582851599</v>
      </c>
      <c r="S227" s="3">
        <v>0</v>
      </c>
      <c r="U227">
        <v>12.408310254687899</v>
      </c>
    </row>
    <row r="228" spans="2:21" x14ac:dyDescent="0.3">
      <c r="B228" s="43"/>
      <c r="C228" s="77">
        <v>4.25</v>
      </c>
      <c r="D228" s="3">
        <v>16561.483798138499</v>
      </c>
      <c r="E228" s="3">
        <v>14685.975658191399</v>
      </c>
      <c r="F228" s="3">
        <v>12810.467518244301</v>
      </c>
      <c r="G228" s="3">
        <v>12260.9193961856</v>
      </c>
      <c r="H228" s="3">
        <v>11711.371274126901</v>
      </c>
      <c r="I228" s="3">
        <v>10519.403072740801</v>
      </c>
      <c r="J228" s="3">
        <v>9327.4348713547697</v>
      </c>
      <c r="K228" s="3">
        <v>8042.0072633224609</v>
      </c>
      <c r="L228" s="3">
        <v>6756.5796552901602</v>
      </c>
      <c r="M228" s="3">
        <v>6221.7429497009607</v>
      </c>
      <c r="N228" s="3">
        <v>5686.9062441117503</v>
      </c>
      <c r="O228" s="3">
        <v>5202.3101382614805</v>
      </c>
      <c r="P228" s="3">
        <v>4717.7140324111997</v>
      </c>
      <c r="Q228" s="3">
        <v>4011.7536561226698</v>
      </c>
      <c r="R228" s="3">
        <v>3305.7932798341299</v>
      </c>
      <c r="S228" s="3">
        <v>0</v>
      </c>
      <c r="U228">
        <v>16.5614837981385</v>
      </c>
    </row>
    <row r="229" spans="2:21" x14ac:dyDescent="0.3">
      <c r="B229" s="43"/>
      <c r="C229" s="77">
        <v>4.75</v>
      </c>
      <c r="D229" s="3">
        <v>20450.227701718501</v>
      </c>
      <c r="E229" s="3">
        <v>19010.252047345501</v>
      </c>
      <c r="F229" s="3">
        <v>17570.276392972399</v>
      </c>
      <c r="G229" s="3">
        <v>15574.622175560498</v>
      </c>
      <c r="H229" s="3">
        <v>13578.9679581486</v>
      </c>
      <c r="I229" s="3">
        <v>12617.9191002563</v>
      </c>
      <c r="J229" s="3">
        <v>11656.870242364001</v>
      </c>
      <c r="K229" s="3">
        <v>9897.97621242899</v>
      </c>
      <c r="L229" s="3">
        <v>8139.0821824940094</v>
      </c>
      <c r="M229" s="3">
        <v>7404.1321490422906</v>
      </c>
      <c r="N229" s="3">
        <v>6669.18211559058</v>
      </c>
      <c r="O229" s="3">
        <v>6340.19573468823</v>
      </c>
      <c r="P229" s="3">
        <v>6011.20935378587</v>
      </c>
      <c r="Q229" s="3">
        <v>5150.9622231634903</v>
      </c>
      <c r="R229" s="3">
        <v>4290.7150925411106</v>
      </c>
      <c r="S229" s="3">
        <v>0</v>
      </c>
      <c r="U229">
        <v>20.4502277017185</v>
      </c>
    </row>
    <row r="230" spans="2:21" x14ac:dyDescent="0.3">
      <c r="B230" s="43"/>
      <c r="C230" s="77">
        <v>5.25</v>
      </c>
      <c r="D230" s="3">
        <v>24338.9716052986</v>
      </c>
      <c r="E230" s="3">
        <v>23334.528436499601</v>
      </c>
      <c r="F230" s="3">
        <v>22330.085267700601</v>
      </c>
      <c r="G230" s="3">
        <v>18888.3249549354</v>
      </c>
      <c r="H230" s="3">
        <v>15446.5646421703</v>
      </c>
      <c r="I230" s="3">
        <v>14716.4351277717</v>
      </c>
      <c r="J230" s="3">
        <v>13986.305613373201</v>
      </c>
      <c r="K230" s="3">
        <v>11753.945161535499</v>
      </c>
      <c r="L230" s="3">
        <v>9521.5847096978505</v>
      </c>
      <c r="M230" s="3">
        <v>8586.5213483836305</v>
      </c>
      <c r="N230" s="3">
        <v>7651.4579870694097</v>
      </c>
      <c r="O230" s="3">
        <v>7478.0813311149805</v>
      </c>
      <c r="P230" s="3">
        <v>7304.7046751605403</v>
      </c>
      <c r="Q230" s="3">
        <v>6290.1707902043099</v>
      </c>
      <c r="R230" s="3">
        <v>5275.6369052480904</v>
      </c>
      <c r="S230" s="3">
        <v>0</v>
      </c>
      <c r="U230">
        <v>24.3389716052986</v>
      </c>
    </row>
    <row r="231" spans="2:21" x14ac:dyDescent="0.3">
      <c r="B231" s="43"/>
      <c r="C231" s="77">
        <v>5.75</v>
      </c>
      <c r="D231" s="3">
        <v>27268.404970417501</v>
      </c>
      <c r="E231" s="3">
        <v>25949.518619433602</v>
      </c>
      <c r="F231" s="3">
        <v>24630.632268449699</v>
      </c>
      <c r="G231" s="3">
        <v>21411.171392201901</v>
      </c>
      <c r="H231" s="3">
        <v>18191.710515954001</v>
      </c>
      <c r="I231" s="3">
        <v>16456.919033750601</v>
      </c>
      <c r="J231" s="3">
        <v>14722.127551547199</v>
      </c>
      <c r="K231" s="3">
        <v>13036.609867868099</v>
      </c>
      <c r="L231" s="3">
        <v>11351.092184189101</v>
      </c>
      <c r="M231" s="3">
        <v>10082.7638556976</v>
      </c>
      <c r="N231" s="3">
        <v>8814.4355272061403</v>
      </c>
      <c r="O231" s="3">
        <v>8585.4922110467996</v>
      </c>
      <c r="P231" s="3">
        <v>8356.5488948874499</v>
      </c>
      <c r="Q231" s="3">
        <v>7150.8750739683601</v>
      </c>
      <c r="R231" s="3">
        <v>5945.2012530492802</v>
      </c>
      <c r="S231" s="3">
        <v>0</v>
      </c>
      <c r="U231">
        <v>27.2684049704175</v>
      </c>
    </row>
    <row r="232" spans="2:21" x14ac:dyDescent="0.3">
      <c r="B232" s="43"/>
      <c r="C232" s="77">
        <v>6.25</v>
      </c>
      <c r="D232" s="3">
        <v>30197.8383355365</v>
      </c>
      <c r="E232" s="3">
        <v>28564.508802367702</v>
      </c>
      <c r="F232" s="3">
        <v>26931.179269198899</v>
      </c>
      <c r="G232" s="3">
        <v>23934.017829468299</v>
      </c>
      <c r="H232" s="3">
        <v>20936.856389737801</v>
      </c>
      <c r="I232" s="3">
        <v>18197.4029397294</v>
      </c>
      <c r="J232" s="3">
        <v>15457.949489721101</v>
      </c>
      <c r="K232" s="3">
        <v>14319.274574200699</v>
      </c>
      <c r="L232" s="3">
        <v>13180.599658680399</v>
      </c>
      <c r="M232" s="3">
        <v>11579.006363011598</v>
      </c>
      <c r="N232" s="3">
        <v>9977.4130673428808</v>
      </c>
      <c r="O232" s="3">
        <v>9692.9030909786197</v>
      </c>
      <c r="P232" s="3">
        <v>9408.3931146143586</v>
      </c>
      <c r="Q232" s="3">
        <v>8011.5793577324102</v>
      </c>
      <c r="R232" s="3">
        <v>6614.76560085046</v>
      </c>
      <c r="S232" s="3">
        <v>0</v>
      </c>
      <c r="U232">
        <v>30.197838335536499</v>
      </c>
    </row>
    <row r="233" spans="2:21" x14ac:dyDescent="0.3">
      <c r="B233" s="43"/>
      <c r="C233" s="77">
        <v>6.75</v>
      </c>
      <c r="D233" s="3">
        <v>30197.8383355365</v>
      </c>
      <c r="E233" s="3">
        <v>28564.508802367702</v>
      </c>
      <c r="F233" s="3">
        <v>26931.179269198899</v>
      </c>
      <c r="G233" s="3">
        <v>23934.017829468299</v>
      </c>
      <c r="H233" s="3">
        <v>20936.856389737801</v>
      </c>
      <c r="I233" s="3">
        <v>18197.4029397294</v>
      </c>
      <c r="J233" s="3">
        <v>15457.949489721101</v>
      </c>
      <c r="K233" s="3">
        <v>14319.274574200699</v>
      </c>
      <c r="L233" s="3">
        <v>13180.599658680399</v>
      </c>
      <c r="M233" s="3">
        <v>11579.006363011598</v>
      </c>
      <c r="N233" s="3">
        <v>9977.4130673428808</v>
      </c>
      <c r="O233" s="3">
        <v>9692.9030909786197</v>
      </c>
      <c r="P233" s="3">
        <v>9408.3931146143586</v>
      </c>
      <c r="Q233" s="3">
        <v>8011.5793577324102</v>
      </c>
      <c r="R233" s="3">
        <v>6614.76560085046</v>
      </c>
      <c r="S233" s="3">
        <v>0</v>
      </c>
    </row>
    <row r="234" spans="2:21" x14ac:dyDescent="0.3">
      <c r="B234" s="43"/>
      <c r="C234" s="77">
        <v>7.25</v>
      </c>
      <c r="D234" s="3">
        <v>30197.8383355365</v>
      </c>
      <c r="E234" s="3">
        <v>28564.508802367702</v>
      </c>
      <c r="F234" s="3">
        <v>26931.179269198899</v>
      </c>
      <c r="G234" s="3">
        <v>23934.017829468299</v>
      </c>
      <c r="H234" s="3">
        <v>20936.856389737801</v>
      </c>
      <c r="I234" s="3">
        <v>18197.4029397294</v>
      </c>
      <c r="J234" s="3">
        <v>15457.949489721101</v>
      </c>
      <c r="K234" s="3">
        <v>14319.274574200699</v>
      </c>
      <c r="L234" s="3">
        <v>13180.599658680399</v>
      </c>
      <c r="M234" s="3">
        <v>11579.006363011598</v>
      </c>
      <c r="N234" s="3">
        <v>9977.4130673428808</v>
      </c>
      <c r="O234" s="3">
        <v>9692.9030909786197</v>
      </c>
      <c r="P234" s="3">
        <v>9408.3931146143586</v>
      </c>
      <c r="Q234" s="3">
        <v>8011.5793577324102</v>
      </c>
      <c r="R234" s="3">
        <v>6614.76560085046</v>
      </c>
      <c r="S234" s="3">
        <v>0</v>
      </c>
    </row>
    <row r="235" spans="2:21" x14ac:dyDescent="0.3">
      <c r="B235" s="43"/>
      <c r="C235" s="77">
        <v>7.75</v>
      </c>
      <c r="D235" s="3">
        <v>30197.8383355365</v>
      </c>
      <c r="E235" s="3">
        <v>28564.508802367702</v>
      </c>
      <c r="F235" s="3">
        <v>26931.179269198899</v>
      </c>
      <c r="G235" s="3">
        <v>23934.017829468299</v>
      </c>
      <c r="H235" s="3">
        <v>20936.856389737801</v>
      </c>
      <c r="I235" s="3">
        <v>18197.4029397294</v>
      </c>
      <c r="J235" s="3">
        <v>15457.949489721101</v>
      </c>
      <c r="K235" s="3">
        <v>14319.274574200699</v>
      </c>
      <c r="L235" s="3">
        <v>13180.599658680399</v>
      </c>
      <c r="M235" s="3">
        <v>11579.006363011598</v>
      </c>
      <c r="N235" s="3">
        <v>9977.4130673428808</v>
      </c>
      <c r="O235" s="3">
        <v>9692.9030909786197</v>
      </c>
      <c r="P235" s="3">
        <v>9408.3931146143586</v>
      </c>
      <c r="Q235" s="3">
        <v>8011.5793577324102</v>
      </c>
      <c r="R235" s="3">
        <v>6614.76560085046</v>
      </c>
      <c r="S235" s="3">
        <v>0</v>
      </c>
    </row>
    <row r="236" spans="2:21" x14ac:dyDescent="0.3">
      <c r="B236" s="43"/>
      <c r="C236" s="77">
        <v>8.25</v>
      </c>
      <c r="D236" s="3">
        <v>30197.8383355365</v>
      </c>
      <c r="E236" s="3">
        <v>28564.508802367702</v>
      </c>
      <c r="F236" s="3">
        <v>26931.179269198899</v>
      </c>
      <c r="G236" s="3">
        <v>23934.017829468299</v>
      </c>
      <c r="H236" s="3">
        <v>20936.856389737801</v>
      </c>
      <c r="I236" s="3">
        <v>18197.4029397294</v>
      </c>
      <c r="J236" s="3">
        <v>15457.949489721101</v>
      </c>
      <c r="K236" s="3">
        <v>14319.274574200699</v>
      </c>
      <c r="L236" s="3">
        <v>13180.599658680399</v>
      </c>
      <c r="M236" s="3">
        <v>11579.006363011598</v>
      </c>
      <c r="N236" s="3">
        <v>9977.4130673428808</v>
      </c>
      <c r="O236" s="3">
        <v>9692.9030909786197</v>
      </c>
      <c r="P236" s="3">
        <v>9408.3931146143586</v>
      </c>
      <c r="Q236" s="3">
        <v>8011.5793577324102</v>
      </c>
      <c r="R236" s="3">
        <v>6614.76560085046</v>
      </c>
      <c r="S236" s="3">
        <v>0</v>
      </c>
    </row>
    <row r="237" spans="2:21" x14ac:dyDescent="0.3">
      <c r="B237" s="43"/>
      <c r="C237" s="77">
        <v>8.75</v>
      </c>
      <c r="D237" s="3">
        <v>30197.8383355365</v>
      </c>
      <c r="E237" s="3">
        <v>28564.508802367702</v>
      </c>
      <c r="F237" s="3">
        <v>26931.179269198899</v>
      </c>
      <c r="G237" s="3">
        <v>23934.017829468299</v>
      </c>
      <c r="H237" s="3">
        <v>20936.856389737801</v>
      </c>
      <c r="I237" s="3">
        <v>18197.4029397294</v>
      </c>
      <c r="J237" s="3">
        <v>15457.949489721101</v>
      </c>
      <c r="K237" s="3">
        <v>14319.274574200699</v>
      </c>
      <c r="L237" s="3">
        <v>13180.599658680399</v>
      </c>
      <c r="M237" s="3">
        <v>11579.006363011598</v>
      </c>
      <c r="N237" s="3">
        <v>9977.4130673428808</v>
      </c>
      <c r="O237" s="3">
        <v>9692.9030909786197</v>
      </c>
      <c r="P237" s="3">
        <v>9408.3931146143586</v>
      </c>
      <c r="Q237" s="3">
        <v>8011.5793577324102</v>
      </c>
      <c r="R237" s="3">
        <v>6614.76560085046</v>
      </c>
      <c r="S237" s="3">
        <v>0</v>
      </c>
    </row>
    <row r="238" spans="2:21" x14ac:dyDescent="0.3">
      <c r="B238" s="43"/>
      <c r="C238" s="77">
        <v>9.25</v>
      </c>
      <c r="D238" s="3">
        <v>30197.8383355365</v>
      </c>
      <c r="E238" s="3">
        <v>28564.508802367702</v>
      </c>
      <c r="F238" s="3">
        <v>26931.179269198899</v>
      </c>
      <c r="G238" s="3">
        <v>23934.017829468299</v>
      </c>
      <c r="H238" s="3">
        <v>20936.856389737801</v>
      </c>
      <c r="I238" s="3">
        <v>18197.4029397294</v>
      </c>
      <c r="J238" s="3">
        <v>15457.949489721101</v>
      </c>
      <c r="K238" s="3">
        <v>14319.274574200699</v>
      </c>
      <c r="L238" s="3">
        <v>13180.599658680399</v>
      </c>
      <c r="M238" s="3">
        <v>11579.006363011598</v>
      </c>
      <c r="N238" s="3">
        <v>9977.4130673428808</v>
      </c>
      <c r="O238" s="3">
        <v>9692.9030909786197</v>
      </c>
      <c r="P238" s="3">
        <v>9408.3931146143586</v>
      </c>
      <c r="Q238" s="3">
        <v>8011.5793577324102</v>
      </c>
      <c r="R238" s="3">
        <v>6614.76560085046</v>
      </c>
      <c r="S238" s="3">
        <v>0</v>
      </c>
    </row>
    <row r="239" spans="2:21" x14ac:dyDescent="0.3">
      <c r="B239" s="43"/>
      <c r="C239" s="77">
        <v>9.75</v>
      </c>
      <c r="D239" s="3">
        <v>30197.8383355365</v>
      </c>
      <c r="E239" s="3">
        <v>28564.508802367702</v>
      </c>
      <c r="F239" s="3">
        <v>26931.179269198899</v>
      </c>
      <c r="G239" s="3">
        <v>23934.017829468299</v>
      </c>
      <c r="H239" s="3">
        <v>20936.856389737801</v>
      </c>
      <c r="I239" s="3">
        <v>18197.4029397294</v>
      </c>
      <c r="J239" s="3">
        <v>15457.949489721101</v>
      </c>
      <c r="K239" s="3">
        <v>14319.274574200699</v>
      </c>
      <c r="L239" s="3">
        <v>13180.599658680399</v>
      </c>
      <c r="M239" s="3">
        <v>11579.006363011598</v>
      </c>
      <c r="N239" s="3">
        <v>9977.4130673428808</v>
      </c>
      <c r="O239" s="3">
        <v>9692.9030909786197</v>
      </c>
      <c r="P239" s="3">
        <v>9408.3931146143586</v>
      </c>
      <c r="Q239" s="3">
        <v>8011.5793577324102</v>
      </c>
      <c r="R239" s="3">
        <v>6614.76560085046</v>
      </c>
      <c r="S239" s="3">
        <v>0</v>
      </c>
    </row>
    <row r="241" spans="1:21" x14ac:dyDescent="0.3">
      <c r="A241">
        <v>7</v>
      </c>
      <c r="B241" s="110"/>
    </row>
    <row r="242" spans="1:21" x14ac:dyDescent="0.3">
      <c r="A242" s="45" t="s">
        <v>89</v>
      </c>
      <c r="B242" s="43"/>
    </row>
    <row r="243" spans="1:21" x14ac:dyDescent="0.3">
      <c r="A243" s="43"/>
      <c r="B243" s="43" t="s">
        <v>91</v>
      </c>
      <c r="D243">
        <v>3</v>
      </c>
      <c r="E243" t="s">
        <v>4</v>
      </c>
    </row>
    <row r="244" spans="1:21" x14ac:dyDescent="0.3">
      <c r="A244" s="43"/>
      <c r="B244" s="43" t="s">
        <v>93</v>
      </c>
      <c r="D244">
        <v>1.5</v>
      </c>
      <c r="E244" t="s">
        <v>4</v>
      </c>
    </row>
    <row r="245" spans="1:21" x14ac:dyDescent="0.3">
      <c r="A245" s="43"/>
      <c r="B245" s="43" t="s">
        <v>124</v>
      </c>
      <c r="D245" s="6">
        <f>(D243/2)^2*PI()*D244</f>
        <v>10.602875205865551</v>
      </c>
      <c r="E245" t="s">
        <v>5</v>
      </c>
    </row>
    <row r="246" spans="1:21" x14ac:dyDescent="0.3">
      <c r="A246" s="43"/>
      <c r="B246" s="43" t="s">
        <v>12</v>
      </c>
      <c r="D246">
        <v>0</v>
      </c>
      <c r="E246" t="s">
        <v>125</v>
      </c>
    </row>
    <row r="247" spans="1:21" x14ac:dyDescent="0.3">
      <c r="A247" s="43"/>
      <c r="B247" s="43" t="s">
        <v>126</v>
      </c>
      <c r="D247">
        <v>0.1</v>
      </c>
    </row>
    <row r="248" spans="1:21" x14ac:dyDescent="0.3">
      <c r="B248" s="43" t="s">
        <v>127</v>
      </c>
      <c r="D248">
        <v>0.1</v>
      </c>
    </row>
    <row r="249" spans="1:21" x14ac:dyDescent="0.3">
      <c r="B249" s="43" t="s">
        <v>145</v>
      </c>
      <c r="D249">
        <v>1</v>
      </c>
    </row>
    <row r="251" spans="1:21" x14ac:dyDescent="0.3">
      <c r="A251" s="7" t="s">
        <v>18</v>
      </c>
    </row>
    <row r="252" spans="1:21" x14ac:dyDescent="0.3">
      <c r="B252" s="43"/>
      <c r="C252" s="43"/>
      <c r="D252" s="43" t="s">
        <v>117</v>
      </c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</row>
    <row r="253" spans="1:21" x14ac:dyDescent="0.3">
      <c r="B253" s="43"/>
      <c r="C253" s="75"/>
      <c r="D253" s="76">
        <v>4.5</v>
      </c>
      <c r="E253" s="76">
        <v>5.5</v>
      </c>
      <c r="F253" s="76">
        <v>6.5</v>
      </c>
      <c r="G253" s="76">
        <v>7.5</v>
      </c>
      <c r="H253" s="76">
        <v>8.5</v>
      </c>
      <c r="I253" s="76">
        <v>9.5</v>
      </c>
      <c r="J253" s="76">
        <v>10.5</v>
      </c>
      <c r="K253" s="76">
        <v>11.5</v>
      </c>
      <c r="L253" s="76">
        <v>12.5</v>
      </c>
      <c r="M253" s="76">
        <v>13.5</v>
      </c>
      <c r="N253" s="76">
        <v>14.5</v>
      </c>
      <c r="O253" s="76">
        <v>15.5</v>
      </c>
      <c r="P253" s="76">
        <v>16.5</v>
      </c>
      <c r="Q253" s="76">
        <v>17.5</v>
      </c>
      <c r="R253" s="76">
        <v>18.5</v>
      </c>
      <c r="S253" s="76">
        <v>19.5</v>
      </c>
    </row>
    <row r="254" spans="1:21" x14ac:dyDescent="0.3">
      <c r="B254" s="43" t="s">
        <v>118</v>
      </c>
      <c r="C254" s="77">
        <v>0.25</v>
      </c>
      <c r="D254" s="3">
        <v>85.524707107837202</v>
      </c>
      <c r="E254" s="3">
        <v>87.466118513200101</v>
      </c>
      <c r="F254" s="3">
        <v>89.407529918563</v>
      </c>
      <c r="G254" s="3">
        <v>82.510153100598203</v>
      </c>
      <c r="H254" s="3">
        <v>75.612776282633391</v>
      </c>
      <c r="I254" s="3">
        <v>71.100088464132398</v>
      </c>
      <c r="J254" s="3">
        <v>66.587400645631504</v>
      </c>
      <c r="K254" s="3">
        <v>55.7358008201453</v>
      </c>
      <c r="L254" s="3">
        <v>44.884200994659096</v>
      </c>
      <c r="M254" s="3">
        <v>46.4469117366286</v>
      </c>
      <c r="N254" s="3">
        <v>48.009622478598104</v>
      </c>
      <c r="O254" s="3">
        <v>39.752501549591301</v>
      </c>
      <c r="P254" s="3">
        <v>31.495380620584498</v>
      </c>
      <c r="Q254" s="3">
        <v>31.1484491753307</v>
      </c>
      <c r="R254" s="3">
        <v>30.801517730076803</v>
      </c>
      <c r="S254" s="3">
        <v>0</v>
      </c>
      <c r="U254">
        <v>8.5524707107837203E-2</v>
      </c>
    </row>
    <row r="255" spans="1:21" x14ac:dyDescent="0.3">
      <c r="B255" s="43"/>
      <c r="C255" s="77">
        <v>0.75</v>
      </c>
      <c r="D255" s="3">
        <v>1044.8903333302999</v>
      </c>
      <c r="E255" s="3">
        <v>1086.3850169643902</v>
      </c>
      <c r="F255" s="3">
        <v>1127.87970059848</v>
      </c>
      <c r="G255" s="3">
        <v>1042.8018343077099</v>
      </c>
      <c r="H255" s="3">
        <v>957.72396801693606</v>
      </c>
      <c r="I255" s="3">
        <v>924.873663581546</v>
      </c>
      <c r="J255" s="3">
        <v>892.02335914615503</v>
      </c>
      <c r="K255" s="3">
        <v>822.06468218526402</v>
      </c>
      <c r="L255" s="3">
        <v>752.10600522437198</v>
      </c>
      <c r="M255" s="3">
        <v>737.83778262735302</v>
      </c>
      <c r="N255" s="3">
        <v>723.56956003033304</v>
      </c>
      <c r="O255" s="3">
        <v>627.302218400573</v>
      </c>
      <c r="P255" s="3">
        <v>531.03487677081296</v>
      </c>
      <c r="Q255" s="3">
        <v>426.91908151220099</v>
      </c>
      <c r="R255" s="3">
        <v>322.80328625358902</v>
      </c>
      <c r="S255" s="3">
        <v>0</v>
      </c>
      <c r="U255">
        <v>1.0448903333302999</v>
      </c>
    </row>
    <row r="256" spans="1:21" x14ac:dyDescent="0.3">
      <c r="B256" s="43"/>
      <c r="C256" s="77">
        <v>1.25</v>
      </c>
      <c r="D256" s="3">
        <v>2004.2559595527698</v>
      </c>
      <c r="E256" s="3">
        <v>2085.3039154155799</v>
      </c>
      <c r="F256" s="3">
        <v>2166.3518712783998</v>
      </c>
      <c r="G256" s="3">
        <v>2003.09351551482</v>
      </c>
      <c r="H256" s="3">
        <v>1839.8351597512399</v>
      </c>
      <c r="I256" s="3">
        <v>1778.6472386989601</v>
      </c>
      <c r="J256" s="3">
        <v>1717.4593176466799</v>
      </c>
      <c r="K256" s="3">
        <v>1588.3935635503801</v>
      </c>
      <c r="L256" s="3">
        <v>1459.3278094540901</v>
      </c>
      <c r="M256" s="3">
        <v>1429.2286535180801</v>
      </c>
      <c r="N256" s="3">
        <v>1399.1294975820701</v>
      </c>
      <c r="O256" s="3">
        <v>1214.85193525155</v>
      </c>
      <c r="P256" s="3">
        <v>1030.5743729210399</v>
      </c>
      <c r="Q256" s="3">
        <v>822.68971384907093</v>
      </c>
      <c r="R256" s="3">
        <v>614.80505477710096</v>
      </c>
      <c r="S256" s="3">
        <v>0</v>
      </c>
      <c r="U256">
        <v>2.0042559595527698</v>
      </c>
    </row>
    <row r="257" spans="2:21" x14ac:dyDescent="0.3">
      <c r="B257" s="43"/>
      <c r="C257" s="77">
        <v>1.75</v>
      </c>
      <c r="D257" s="3">
        <v>4229.9348086550499</v>
      </c>
      <c r="E257" s="3">
        <v>4300.9259545743398</v>
      </c>
      <c r="F257" s="3">
        <v>4371.9171004936397</v>
      </c>
      <c r="G257" s="3">
        <v>4160.0245456112107</v>
      </c>
      <c r="H257" s="3">
        <v>3948.1319907287798</v>
      </c>
      <c r="I257" s="3">
        <v>3606.4243279049801</v>
      </c>
      <c r="J257" s="3">
        <v>3264.7166650811801</v>
      </c>
      <c r="K257" s="3">
        <v>3181.1216688394902</v>
      </c>
      <c r="L257" s="3">
        <v>3097.5266725977899</v>
      </c>
      <c r="M257" s="3">
        <v>2743.3019920312499</v>
      </c>
      <c r="N257" s="3">
        <v>2389.07731146471</v>
      </c>
      <c r="O257" s="3">
        <v>2124.0681917516099</v>
      </c>
      <c r="P257" s="3">
        <v>1859.0590720385201</v>
      </c>
      <c r="Q257" s="3">
        <v>1609.9386969805801</v>
      </c>
      <c r="R257" s="3">
        <v>1360.81832192263</v>
      </c>
      <c r="S257" s="3">
        <v>0</v>
      </c>
      <c r="U257">
        <v>4.2299348086550497</v>
      </c>
    </row>
    <row r="258" spans="2:21" x14ac:dyDescent="0.3">
      <c r="B258" s="43"/>
      <c r="C258" s="77">
        <v>2.25</v>
      </c>
      <c r="D258" s="3">
        <v>6455.6136577573297</v>
      </c>
      <c r="E258" s="3">
        <v>6516.5479937331002</v>
      </c>
      <c r="F258" s="3">
        <v>6577.4823297088797</v>
      </c>
      <c r="G258" s="3">
        <v>6316.9555757075996</v>
      </c>
      <c r="H258" s="3">
        <v>6056.4288217063204</v>
      </c>
      <c r="I258" s="3">
        <v>5434.2014171109995</v>
      </c>
      <c r="J258" s="3">
        <v>4811.9740125156804</v>
      </c>
      <c r="K258" s="3">
        <v>4773.8497741285901</v>
      </c>
      <c r="L258" s="3">
        <v>4735.7255357414997</v>
      </c>
      <c r="M258" s="3">
        <v>4057.3753305444197</v>
      </c>
      <c r="N258" s="3">
        <v>3379.0251253473398</v>
      </c>
      <c r="O258" s="3">
        <v>3033.2844482516703</v>
      </c>
      <c r="P258" s="3">
        <v>2687.5437711560003</v>
      </c>
      <c r="Q258" s="3">
        <v>2397.1876801120802</v>
      </c>
      <c r="R258" s="3">
        <v>2106.8315890681602</v>
      </c>
      <c r="S258" s="3">
        <v>0</v>
      </c>
      <c r="U258">
        <v>6.45561365775733</v>
      </c>
    </row>
    <row r="259" spans="2:21" x14ac:dyDescent="0.3">
      <c r="B259" s="43"/>
      <c r="C259" s="77">
        <v>2.75</v>
      </c>
      <c r="D259" s="3">
        <v>9771.44733602626</v>
      </c>
      <c r="E259" s="3">
        <v>10103.3035930516</v>
      </c>
      <c r="F259" s="3">
        <v>10435.1598500769</v>
      </c>
      <c r="G259" s="3">
        <v>9974.8507867203898</v>
      </c>
      <c r="H259" s="3">
        <v>9514.54172336386</v>
      </c>
      <c r="I259" s="3">
        <v>8607.0947436462502</v>
      </c>
      <c r="J259" s="3">
        <v>7699.6477639286404</v>
      </c>
      <c r="K259" s="3">
        <v>7278.1605397065105</v>
      </c>
      <c r="L259" s="3">
        <v>6856.6733154843696</v>
      </c>
      <c r="M259" s="3">
        <v>6273.9541085148603</v>
      </c>
      <c r="N259" s="3">
        <v>5691.2349015453501</v>
      </c>
      <c r="O259" s="3">
        <v>4994.9135270154102</v>
      </c>
      <c r="P259" s="3">
        <v>4298.5921524854602</v>
      </c>
      <c r="Q259" s="3">
        <v>3901.50154135295</v>
      </c>
      <c r="R259" s="3">
        <v>3504.4109302204397</v>
      </c>
      <c r="S259" s="3">
        <v>0</v>
      </c>
      <c r="U259">
        <v>9.7714473360262595</v>
      </c>
    </row>
    <row r="260" spans="2:21" x14ac:dyDescent="0.3">
      <c r="B260" s="43"/>
      <c r="C260" s="77">
        <v>3.25</v>
      </c>
      <c r="D260" s="3">
        <v>13087.2810142952</v>
      </c>
      <c r="E260" s="3">
        <v>13690.059192370099</v>
      </c>
      <c r="F260" s="3">
        <v>14292.837370444999</v>
      </c>
      <c r="G260" s="3">
        <v>13632.7459977332</v>
      </c>
      <c r="H260" s="3">
        <v>12972.6546250214</v>
      </c>
      <c r="I260" s="3">
        <v>11779.9880701815</v>
      </c>
      <c r="J260" s="3">
        <v>10587.3215153416</v>
      </c>
      <c r="K260" s="3">
        <v>9782.4713052844199</v>
      </c>
      <c r="L260" s="3">
        <v>8977.6210952272395</v>
      </c>
      <c r="M260" s="3">
        <v>8490.5328864853</v>
      </c>
      <c r="N260" s="3">
        <v>8003.4446777433704</v>
      </c>
      <c r="O260" s="3">
        <v>6956.5426057791501</v>
      </c>
      <c r="P260" s="3">
        <v>5909.6405338149298</v>
      </c>
      <c r="Q260" s="3">
        <v>5405.8154025938202</v>
      </c>
      <c r="R260" s="3">
        <v>4901.9902713727206</v>
      </c>
      <c r="S260" s="3">
        <v>0</v>
      </c>
      <c r="U260">
        <v>13.087281014295201</v>
      </c>
    </row>
    <row r="261" spans="2:21" x14ac:dyDescent="0.3">
      <c r="B261" s="43"/>
      <c r="C261" s="77">
        <v>3.75</v>
      </c>
      <c r="D261" s="3">
        <v>17597.458983979501</v>
      </c>
      <c r="E261" s="3">
        <v>17569.334311036801</v>
      </c>
      <c r="F261" s="3">
        <v>17541.2096380941</v>
      </c>
      <c r="G261" s="3">
        <v>18042.365525470101</v>
      </c>
      <c r="H261" s="3">
        <v>18543.521412846101</v>
      </c>
      <c r="I261" s="3">
        <v>16830.178083644001</v>
      </c>
      <c r="J261" s="3">
        <v>15116.834754441999</v>
      </c>
      <c r="K261" s="3">
        <v>14200.5704465533</v>
      </c>
      <c r="L261" s="3">
        <v>13284.3061386646</v>
      </c>
      <c r="M261" s="3">
        <v>12552.072298454001</v>
      </c>
      <c r="N261" s="3">
        <v>11819.838458243301</v>
      </c>
      <c r="O261" s="3">
        <v>9907.1282346501393</v>
      </c>
      <c r="P261" s="3">
        <v>7994.4180110569396</v>
      </c>
      <c r="Q261" s="3">
        <v>6884.8824532150602</v>
      </c>
      <c r="R261" s="3">
        <v>5775.3468953731699</v>
      </c>
      <c r="S261" s="3">
        <v>0</v>
      </c>
      <c r="U261">
        <v>17.5974589839795</v>
      </c>
    </row>
    <row r="262" spans="2:21" x14ac:dyDescent="0.3">
      <c r="B262" s="43"/>
      <c r="C262" s="77">
        <v>4.25</v>
      </c>
      <c r="D262" s="3">
        <v>22107.636953663899</v>
      </c>
      <c r="E262" s="3">
        <v>21448.609429703498</v>
      </c>
      <c r="F262" s="3">
        <v>20789.581905743202</v>
      </c>
      <c r="G262" s="3">
        <v>22451.985053207001</v>
      </c>
      <c r="H262" s="3">
        <v>24114.388200670797</v>
      </c>
      <c r="I262" s="3">
        <v>21880.368097106602</v>
      </c>
      <c r="J262" s="3">
        <v>19646.347993542298</v>
      </c>
      <c r="K262" s="3">
        <v>18618.6695878221</v>
      </c>
      <c r="L262" s="3">
        <v>17590.991182101898</v>
      </c>
      <c r="M262" s="3">
        <v>16613.6117104226</v>
      </c>
      <c r="N262" s="3">
        <v>15636.2322387433</v>
      </c>
      <c r="O262" s="3">
        <v>12857.713863521099</v>
      </c>
      <c r="P262" s="3">
        <v>10079.195488298999</v>
      </c>
      <c r="Q262" s="3">
        <v>8363.9495038362893</v>
      </c>
      <c r="R262" s="3">
        <v>6648.7035193736201</v>
      </c>
      <c r="S262" s="3">
        <v>0</v>
      </c>
      <c r="U262">
        <v>22.107636953663899</v>
      </c>
    </row>
    <row r="263" spans="2:21" x14ac:dyDescent="0.3">
      <c r="B263" s="43"/>
      <c r="C263" s="77">
        <v>4.75</v>
      </c>
      <c r="D263" s="3">
        <v>29210.0978130886</v>
      </c>
      <c r="E263" s="3">
        <v>29977.409311682699</v>
      </c>
      <c r="F263" s="3">
        <v>30744.720810276798</v>
      </c>
      <c r="G263" s="3">
        <v>30867.583088043299</v>
      </c>
      <c r="H263" s="3">
        <v>30990.445365809803</v>
      </c>
      <c r="I263" s="3">
        <v>27997.3037839014</v>
      </c>
      <c r="J263" s="3">
        <v>25004.162201993</v>
      </c>
      <c r="K263" s="3">
        <v>23761.3158616728</v>
      </c>
      <c r="L263" s="3">
        <v>22518.469521352501</v>
      </c>
      <c r="M263" s="3">
        <v>20909.698107759803</v>
      </c>
      <c r="N263" s="3">
        <v>19300.926694167098</v>
      </c>
      <c r="O263" s="3">
        <v>15930.9657598095</v>
      </c>
      <c r="P263" s="3">
        <v>12561.004825451899</v>
      </c>
      <c r="Q263" s="3">
        <v>11001.958929642002</v>
      </c>
      <c r="R263" s="3">
        <v>9442.9130338321811</v>
      </c>
      <c r="S263" s="3">
        <v>0</v>
      </c>
      <c r="U263">
        <v>29.210097813088598</v>
      </c>
    </row>
    <row r="264" spans="2:21" x14ac:dyDescent="0.3">
      <c r="B264" s="43"/>
      <c r="C264" s="77">
        <v>5.25</v>
      </c>
      <c r="D264" s="3">
        <v>36312.558672513296</v>
      </c>
      <c r="E264" s="3">
        <v>38506.209193661904</v>
      </c>
      <c r="F264" s="3">
        <v>40699.859714810402</v>
      </c>
      <c r="G264" s="3">
        <v>39283.1811228796</v>
      </c>
      <c r="H264" s="3">
        <v>37866.502530948899</v>
      </c>
      <c r="I264" s="3">
        <v>34114.239470696295</v>
      </c>
      <c r="J264" s="3">
        <v>30361.976410443698</v>
      </c>
      <c r="K264" s="3">
        <v>28903.962135523401</v>
      </c>
      <c r="L264" s="3">
        <v>27445.947860603097</v>
      </c>
      <c r="M264" s="3">
        <v>25205.784505096999</v>
      </c>
      <c r="N264" s="3">
        <v>22965.621149590799</v>
      </c>
      <c r="O264" s="3">
        <v>19004.2176560978</v>
      </c>
      <c r="P264" s="3">
        <v>15042.8141626048</v>
      </c>
      <c r="Q264" s="3">
        <v>13639.968355447802</v>
      </c>
      <c r="R264" s="3">
        <v>12237.122548290699</v>
      </c>
      <c r="S264" s="3">
        <v>0</v>
      </c>
      <c r="U264">
        <v>36.312558672513298</v>
      </c>
    </row>
    <row r="265" spans="2:21" x14ac:dyDescent="0.3">
      <c r="B265" s="43"/>
      <c r="C265" s="77">
        <v>5.75</v>
      </c>
      <c r="D265" s="3">
        <v>42638.468719254102</v>
      </c>
      <c r="E265" s="3">
        <v>47144.767290700998</v>
      </c>
      <c r="F265" s="3">
        <v>51651.0658621478</v>
      </c>
      <c r="G265" s="3">
        <v>50196.427442783097</v>
      </c>
      <c r="H265" s="3">
        <v>48741.789023418401</v>
      </c>
      <c r="I265" s="3">
        <v>43399.881822311101</v>
      </c>
      <c r="J265" s="3">
        <v>38057.974621203895</v>
      </c>
      <c r="K265" s="3">
        <v>34498.458558617203</v>
      </c>
      <c r="L265" s="3">
        <v>30938.9424960305</v>
      </c>
      <c r="M265" s="3">
        <v>28744.9665408002</v>
      </c>
      <c r="N265" s="3">
        <v>26550.990585569798</v>
      </c>
      <c r="O265" s="3">
        <v>22651.696982378598</v>
      </c>
      <c r="P265" s="3">
        <v>18752.403379187399</v>
      </c>
      <c r="Q265" s="3">
        <v>16803.8704036405</v>
      </c>
      <c r="R265" s="3">
        <v>14855.337428093701</v>
      </c>
      <c r="S265" s="3">
        <v>0</v>
      </c>
      <c r="U265">
        <v>42.638468719254099</v>
      </c>
    </row>
    <row r="266" spans="2:21" x14ac:dyDescent="0.3">
      <c r="B266" s="43"/>
      <c r="C266" s="77">
        <v>6.25</v>
      </c>
      <c r="D266" s="3">
        <v>48964.378765994901</v>
      </c>
      <c r="E266" s="3">
        <v>55783.3253877401</v>
      </c>
      <c r="F266" s="3">
        <v>62602.272009485299</v>
      </c>
      <c r="G266" s="3">
        <v>61109.673762686594</v>
      </c>
      <c r="H266" s="3">
        <v>59617.075515887896</v>
      </c>
      <c r="I266" s="3">
        <v>52685.524173925995</v>
      </c>
      <c r="J266" s="3">
        <v>45753.9728319641</v>
      </c>
      <c r="K266" s="3">
        <v>40092.9549817109</v>
      </c>
      <c r="L266" s="3">
        <v>34431.937131457802</v>
      </c>
      <c r="M266" s="3">
        <v>32284.148576503398</v>
      </c>
      <c r="N266" s="3">
        <v>30136.360021548899</v>
      </c>
      <c r="O266" s="3">
        <v>26299.176308659502</v>
      </c>
      <c r="P266" s="3">
        <v>22461.99259577</v>
      </c>
      <c r="Q266" s="3">
        <v>19967.772451833302</v>
      </c>
      <c r="R266" s="3">
        <v>17473.5523078966</v>
      </c>
      <c r="S266" s="3">
        <v>0</v>
      </c>
      <c r="U266">
        <v>48.964378765994901</v>
      </c>
    </row>
    <row r="267" spans="2:21" x14ac:dyDescent="0.3">
      <c r="B267" s="43"/>
      <c r="C267" s="77">
        <v>6.75</v>
      </c>
      <c r="D267" s="3">
        <v>48964.378765994901</v>
      </c>
      <c r="E267" s="3">
        <v>55783.3253877401</v>
      </c>
      <c r="F267" s="3">
        <v>62602.272009485299</v>
      </c>
      <c r="G267" s="3">
        <v>61109.673762686594</v>
      </c>
      <c r="H267" s="3">
        <v>59617.075515887896</v>
      </c>
      <c r="I267" s="3">
        <v>52685.524173925995</v>
      </c>
      <c r="J267" s="3">
        <v>45753.9728319641</v>
      </c>
      <c r="K267" s="3">
        <v>40092.9549817109</v>
      </c>
      <c r="L267" s="3">
        <v>34431.937131457802</v>
      </c>
      <c r="M267" s="3">
        <v>32284.148576503398</v>
      </c>
      <c r="N267" s="3">
        <v>30136.360021548899</v>
      </c>
      <c r="O267" s="3">
        <v>26299.176308659502</v>
      </c>
      <c r="P267" s="3">
        <v>22461.99259577</v>
      </c>
      <c r="Q267" s="3">
        <v>19967.772451833302</v>
      </c>
      <c r="R267" s="3">
        <v>17473.5523078966</v>
      </c>
      <c r="S267" s="3">
        <v>0</v>
      </c>
    </row>
    <row r="268" spans="2:21" x14ac:dyDescent="0.3">
      <c r="B268" s="43"/>
      <c r="C268" s="77">
        <v>7.25</v>
      </c>
      <c r="D268" s="3">
        <v>48964.378765994901</v>
      </c>
      <c r="E268" s="3">
        <v>55783.3253877401</v>
      </c>
      <c r="F268" s="3">
        <v>62602.272009485299</v>
      </c>
      <c r="G268" s="3">
        <v>61109.673762686594</v>
      </c>
      <c r="H268" s="3">
        <v>59617.075515887896</v>
      </c>
      <c r="I268" s="3">
        <v>52685.524173925995</v>
      </c>
      <c r="J268" s="3">
        <v>45753.9728319641</v>
      </c>
      <c r="K268" s="3">
        <v>40092.9549817109</v>
      </c>
      <c r="L268" s="3">
        <v>34431.937131457802</v>
      </c>
      <c r="M268" s="3">
        <v>32284.148576503398</v>
      </c>
      <c r="N268" s="3">
        <v>30136.360021548899</v>
      </c>
      <c r="O268" s="3">
        <v>26299.176308659502</v>
      </c>
      <c r="P268" s="3">
        <v>22461.99259577</v>
      </c>
      <c r="Q268" s="3">
        <v>19967.772451833302</v>
      </c>
      <c r="R268" s="3">
        <v>17473.5523078966</v>
      </c>
      <c r="S268" s="3">
        <v>0</v>
      </c>
    </row>
    <row r="269" spans="2:21" x14ac:dyDescent="0.3">
      <c r="B269" s="43"/>
      <c r="C269" s="77">
        <v>7.75</v>
      </c>
      <c r="D269" s="3">
        <v>48964.378765994901</v>
      </c>
      <c r="E269" s="3">
        <v>55783.3253877401</v>
      </c>
      <c r="F269" s="3">
        <v>62602.272009485299</v>
      </c>
      <c r="G269" s="3">
        <v>61109.673762686594</v>
      </c>
      <c r="H269" s="3">
        <v>59617.075515887896</v>
      </c>
      <c r="I269" s="3">
        <v>52685.524173925995</v>
      </c>
      <c r="J269" s="3">
        <v>45753.9728319641</v>
      </c>
      <c r="K269" s="3">
        <v>40092.9549817109</v>
      </c>
      <c r="L269" s="3">
        <v>34431.937131457802</v>
      </c>
      <c r="M269" s="3">
        <v>32284.148576503398</v>
      </c>
      <c r="N269" s="3">
        <v>30136.360021548899</v>
      </c>
      <c r="O269" s="3">
        <v>26299.176308659502</v>
      </c>
      <c r="P269" s="3">
        <v>22461.99259577</v>
      </c>
      <c r="Q269" s="3">
        <v>19967.772451833302</v>
      </c>
      <c r="R269" s="3">
        <v>17473.5523078966</v>
      </c>
      <c r="S269" s="3">
        <v>0</v>
      </c>
    </row>
    <row r="270" spans="2:21" x14ac:dyDescent="0.3">
      <c r="B270" s="43"/>
      <c r="C270" s="77">
        <v>8.25</v>
      </c>
      <c r="D270" s="3">
        <v>48964.378765994901</v>
      </c>
      <c r="E270" s="3">
        <v>55783.3253877401</v>
      </c>
      <c r="F270" s="3">
        <v>62602.272009485299</v>
      </c>
      <c r="G270" s="3">
        <v>61109.673762686594</v>
      </c>
      <c r="H270" s="3">
        <v>59617.075515887896</v>
      </c>
      <c r="I270" s="3">
        <v>52685.524173925995</v>
      </c>
      <c r="J270" s="3">
        <v>45753.9728319641</v>
      </c>
      <c r="K270" s="3">
        <v>40092.9549817109</v>
      </c>
      <c r="L270" s="3">
        <v>34431.937131457802</v>
      </c>
      <c r="M270" s="3">
        <v>32284.148576503398</v>
      </c>
      <c r="N270" s="3">
        <v>30136.360021548899</v>
      </c>
      <c r="O270" s="3">
        <v>26299.176308659502</v>
      </c>
      <c r="P270" s="3">
        <v>22461.99259577</v>
      </c>
      <c r="Q270" s="3">
        <v>19967.772451833302</v>
      </c>
      <c r="R270" s="3">
        <v>17473.5523078966</v>
      </c>
      <c r="S270" s="3">
        <v>0</v>
      </c>
    </row>
    <row r="271" spans="2:21" x14ac:dyDescent="0.3">
      <c r="B271" s="43"/>
      <c r="C271" s="77">
        <v>8.75</v>
      </c>
      <c r="D271" s="3">
        <v>48964.378765994901</v>
      </c>
      <c r="E271" s="3">
        <v>55783.3253877401</v>
      </c>
      <c r="F271" s="3">
        <v>62602.272009485299</v>
      </c>
      <c r="G271" s="3">
        <v>61109.673762686594</v>
      </c>
      <c r="H271" s="3">
        <v>59617.075515887896</v>
      </c>
      <c r="I271" s="3">
        <v>52685.524173925995</v>
      </c>
      <c r="J271" s="3">
        <v>45753.9728319641</v>
      </c>
      <c r="K271" s="3">
        <v>40092.9549817109</v>
      </c>
      <c r="L271" s="3">
        <v>34431.937131457802</v>
      </c>
      <c r="M271" s="3">
        <v>32284.148576503398</v>
      </c>
      <c r="N271" s="3">
        <v>30136.360021548899</v>
      </c>
      <c r="O271" s="3">
        <v>26299.176308659502</v>
      </c>
      <c r="P271" s="3">
        <v>22461.99259577</v>
      </c>
      <c r="Q271" s="3">
        <v>19967.772451833302</v>
      </c>
      <c r="R271" s="3">
        <v>17473.5523078966</v>
      </c>
      <c r="S271" s="3">
        <v>0</v>
      </c>
    </row>
    <row r="272" spans="2:21" x14ac:dyDescent="0.3">
      <c r="B272" s="43"/>
      <c r="C272" s="77">
        <v>9.25</v>
      </c>
      <c r="D272" s="3">
        <v>48964.378765994901</v>
      </c>
      <c r="E272" s="3">
        <v>55783.3253877401</v>
      </c>
      <c r="F272" s="3">
        <v>62602.272009485299</v>
      </c>
      <c r="G272" s="3">
        <v>61109.673762686594</v>
      </c>
      <c r="H272" s="3">
        <v>59617.075515887896</v>
      </c>
      <c r="I272" s="3">
        <v>52685.524173925995</v>
      </c>
      <c r="J272" s="3">
        <v>45753.9728319641</v>
      </c>
      <c r="K272" s="3">
        <v>40092.9549817109</v>
      </c>
      <c r="L272" s="3">
        <v>34431.937131457802</v>
      </c>
      <c r="M272" s="3">
        <v>32284.148576503398</v>
      </c>
      <c r="N272" s="3">
        <v>30136.360021548899</v>
      </c>
      <c r="O272" s="3">
        <v>26299.176308659502</v>
      </c>
      <c r="P272" s="3">
        <v>22461.99259577</v>
      </c>
      <c r="Q272" s="3">
        <v>19967.772451833302</v>
      </c>
      <c r="R272" s="3">
        <v>17473.5523078966</v>
      </c>
      <c r="S272" s="3">
        <v>0</v>
      </c>
    </row>
    <row r="273" spans="1:21" x14ac:dyDescent="0.3">
      <c r="B273" s="43"/>
      <c r="C273" s="77">
        <v>9.75</v>
      </c>
      <c r="D273" s="3">
        <v>48964.378765994901</v>
      </c>
      <c r="E273" s="3">
        <v>55783.3253877401</v>
      </c>
      <c r="F273" s="3">
        <v>62602.272009485299</v>
      </c>
      <c r="G273" s="3">
        <v>61109.673762686594</v>
      </c>
      <c r="H273" s="3">
        <v>59617.075515887896</v>
      </c>
      <c r="I273" s="3">
        <v>52685.524173925995</v>
      </c>
      <c r="J273" s="3">
        <v>45753.9728319641</v>
      </c>
      <c r="K273" s="3">
        <v>40092.9549817109</v>
      </c>
      <c r="L273" s="3">
        <v>34431.937131457802</v>
      </c>
      <c r="M273" s="3">
        <v>32284.148576503398</v>
      </c>
      <c r="N273" s="3">
        <v>30136.360021548899</v>
      </c>
      <c r="O273" s="3">
        <v>26299.176308659502</v>
      </c>
      <c r="P273" s="3">
        <v>22461.99259577</v>
      </c>
      <c r="Q273" s="3">
        <v>19967.772451833302</v>
      </c>
      <c r="R273" s="3">
        <v>17473.5523078966</v>
      </c>
      <c r="S273" s="3">
        <v>0</v>
      </c>
    </row>
    <row r="275" spans="1:21" x14ac:dyDescent="0.3">
      <c r="A275">
        <v>8</v>
      </c>
      <c r="B275" s="110"/>
    </row>
    <row r="276" spans="1:21" x14ac:dyDescent="0.3">
      <c r="A276" s="45" t="s">
        <v>89</v>
      </c>
      <c r="B276" s="43"/>
    </row>
    <row r="277" spans="1:21" x14ac:dyDescent="0.3">
      <c r="A277" s="43"/>
      <c r="B277" s="43" t="s">
        <v>91</v>
      </c>
      <c r="D277">
        <v>4</v>
      </c>
      <c r="E277" t="s">
        <v>4</v>
      </c>
    </row>
    <row r="278" spans="1:21" x14ac:dyDescent="0.3">
      <c r="A278" s="43"/>
      <c r="B278" s="43" t="s">
        <v>93</v>
      </c>
      <c r="D278">
        <v>2</v>
      </c>
      <c r="E278" t="s">
        <v>4</v>
      </c>
    </row>
    <row r="279" spans="1:21" x14ac:dyDescent="0.3">
      <c r="A279" s="43"/>
      <c r="B279" s="43" t="s">
        <v>124</v>
      </c>
      <c r="D279" s="6">
        <f>(D277/2)^2*PI()*D278</f>
        <v>25.132741228718345</v>
      </c>
      <c r="E279" t="s">
        <v>5</v>
      </c>
    </row>
    <row r="280" spans="1:21" x14ac:dyDescent="0.3">
      <c r="A280" s="43"/>
      <c r="B280" s="43" t="s">
        <v>12</v>
      </c>
      <c r="D280">
        <v>0</v>
      </c>
      <c r="E280" t="s">
        <v>125</v>
      </c>
    </row>
    <row r="281" spans="1:21" x14ac:dyDescent="0.3">
      <c r="A281" s="43"/>
      <c r="B281" s="43" t="s">
        <v>126</v>
      </c>
      <c r="D281">
        <v>0.1</v>
      </c>
    </row>
    <row r="282" spans="1:21" x14ac:dyDescent="0.3">
      <c r="B282" s="43" t="s">
        <v>127</v>
      </c>
      <c r="D282">
        <v>0.1</v>
      </c>
    </row>
    <row r="283" spans="1:21" x14ac:dyDescent="0.3">
      <c r="B283" s="43" t="s">
        <v>145</v>
      </c>
      <c r="D283">
        <v>1</v>
      </c>
    </row>
    <row r="285" spans="1:21" x14ac:dyDescent="0.3">
      <c r="A285" s="7" t="s">
        <v>18</v>
      </c>
    </row>
    <row r="286" spans="1:21" x14ac:dyDescent="0.3">
      <c r="B286" s="43"/>
      <c r="C286" s="43"/>
      <c r="D286" s="43" t="s">
        <v>117</v>
      </c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</row>
    <row r="287" spans="1:21" x14ac:dyDescent="0.3">
      <c r="B287" s="43"/>
      <c r="C287" s="75"/>
      <c r="D287" s="76">
        <v>4.5</v>
      </c>
      <c r="E287" s="76">
        <v>5.5</v>
      </c>
      <c r="F287" s="76">
        <v>6.5</v>
      </c>
      <c r="G287" s="76">
        <v>7.5</v>
      </c>
      <c r="H287" s="76">
        <v>8.5</v>
      </c>
      <c r="I287" s="76">
        <v>9.5</v>
      </c>
      <c r="J287" s="76">
        <v>10.5</v>
      </c>
      <c r="K287" s="76">
        <v>11.5</v>
      </c>
      <c r="L287" s="76">
        <v>12.5</v>
      </c>
      <c r="M287" s="76">
        <v>13.5</v>
      </c>
      <c r="N287" s="76">
        <v>14.5</v>
      </c>
      <c r="O287" s="76">
        <v>15.5</v>
      </c>
      <c r="P287" s="76">
        <v>16.5</v>
      </c>
      <c r="Q287" s="76">
        <v>17.5</v>
      </c>
      <c r="R287" s="76">
        <v>18.5</v>
      </c>
      <c r="S287" s="76">
        <v>19.5</v>
      </c>
    </row>
    <row r="288" spans="1:21" x14ac:dyDescent="0.3">
      <c r="B288" s="43" t="s">
        <v>118</v>
      </c>
      <c r="C288" s="77">
        <v>0.25</v>
      </c>
      <c r="D288" s="3">
        <v>129.15501284830898</v>
      </c>
      <c r="E288" s="3">
        <v>124.195200114465</v>
      </c>
      <c r="F288" s="3">
        <v>119.23538738062001</v>
      </c>
      <c r="G288" s="3">
        <v>125.46509162001502</v>
      </c>
      <c r="H288" s="3">
        <v>131.69479585940999</v>
      </c>
      <c r="I288" s="3">
        <v>121.93449842618199</v>
      </c>
      <c r="J288" s="3">
        <v>112.174200992954</v>
      </c>
      <c r="K288" s="3">
        <v>99.910631132259894</v>
      </c>
      <c r="L288" s="3">
        <v>87.647061271565292</v>
      </c>
      <c r="M288" s="3">
        <v>85.908182002262606</v>
      </c>
      <c r="N288" s="3">
        <v>84.169302732959906</v>
      </c>
      <c r="O288" s="3">
        <v>71.489393776087709</v>
      </c>
      <c r="P288" s="3">
        <v>58.809484819215399</v>
      </c>
      <c r="Q288" s="3">
        <v>49.842202759782502</v>
      </c>
      <c r="R288" s="3">
        <v>40.874920700349506</v>
      </c>
      <c r="S288" s="3">
        <v>0</v>
      </c>
      <c r="U288">
        <v>0.12915501284830899</v>
      </c>
    </row>
    <row r="289" spans="2:21" x14ac:dyDescent="0.3">
      <c r="B289" s="43"/>
      <c r="C289" s="77">
        <v>0.75</v>
      </c>
      <c r="D289" s="3">
        <v>1519.3870680985001</v>
      </c>
      <c r="E289" s="3">
        <v>1636.1052968122501</v>
      </c>
      <c r="F289" s="3">
        <v>1752.8235255260101</v>
      </c>
      <c r="G289" s="3">
        <v>1694.4981837682401</v>
      </c>
      <c r="H289" s="3">
        <v>1636.17284201046</v>
      </c>
      <c r="I289" s="3">
        <v>1605.5747550194699</v>
      </c>
      <c r="J289" s="3">
        <v>1574.9766680284699</v>
      </c>
      <c r="K289" s="3">
        <v>1402.69108605938</v>
      </c>
      <c r="L289" s="3">
        <v>1230.4055040902799</v>
      </c>
      <c r="M289" s="3">
        <v>1126.6622250706</v>
      </c>
      <c r="N289" s="3">
        <v>1022.91894605091</v>
      </c>
      <c r="O289" s="3">
        <v>891.21866708807693</v>
      </c>
      <c r="P289" s="3">
        <v>759.51838812524397</v>
      </c>
      <c r="Q289" s="3">
        <v>674.68945029189297</v>
      </c>
      <c r="R289" s="3">
        <v>589.86051245854298</v>
      </c>
      <c r="S289" s="3">
        <v>0</v>
      </c>
      <c r="U289">
        <v>1.5193870680985</v>
      </c>
    </row>
    <row r="290" spans="2:21" x14ac:dyDescent="0.3">
      <c r="B290" s="43"/>
      <c r="C290" s="77">
        <v>1.25</v>
      </c>
      <c r="D290" s="3">
        <v>2909.6191233486902</v>
      </c>
      <c r="E290" s="3">
        <v>3148.0153935100498</v>
      </c>
      <c r="F290" s="3">
        <v>3386.4116636713998</v>
      </c>
      <c r="G290" s="3">
        <v>3263.5312759164599</v>
      </c>
      <c r="H290" s="3">
        <v>3140.65088816151</v>
      </c>
      <c r="I290" s="3">
        <v>3089.21501161275</v>
      </c>
      <c r="J290" s="3">
        <v>3037.779135064</v>
      </c>
      <c r="K290" s="3">
        <v>2705.4715409864998</v>
      </c>
      <c r="L290" s="3">
        <v>2373.1639469090001</v>
      </c>
      <c r="M290" s="3">
        <v>2167.4162681389298</v>
      </c>
      <c r="N290" s="3">
        <v>1961.66858936886</v>
      </c>
      <c r="O290" s="3">
        <v>1710.9479404000701</v>
      </c>
      <c r="P290" s="3">
        <v>1460.22729143127</v>
      </c>
      <c r="Q290" s="3">
        <v>1299.5366978239999</v>
      </c>
      <c r="R290" s="3">
        <v>1138.8461042167398</v>
      </c>
      <c r="S290" s="3">
        <v>0</v>
      </c>
      <c r="U290">
        <v>2.9096191233486901</v>
      </c>
    </row>
    <row r="291" spans="2:21" x14ac:dyDescent="0.3">
      <c r="B291" s="43"/>
      <c r="C291" s="77">
        <v>1.75</v>
      </c>
      <c r="D291" s="3">
        <v>6565.0385053740702</v>
      </c>
      <c r="E291" s="3">
        <v>6474.36555424368</v>
      </c>
      <c r="F291" s="3">
        <v>6383.6926031132998</v>
      </c>
      <c r="G291" s="3">
        <v>6631.90547582004</v>
      </c>
      <c r="H291" s="3">
        <v>6880.1183485267802</v>
      </c>
      <c r="I291" s="3">
        <v>6671.8578575031606</v>
      </c>
      <c r="J291" s="3">
        <v>6463.5973664795501</v>
      </c>
      <c r="K291" s="3">
        <v>6060.9122438125705</v>
      </c>
      <c r="L291" s="3">
        <v>5658.2271211456</v>
      </c>
      <c r="M291" s="3">
        <v>4936.2383306605998</v>
      </c>
      <c r="N291" s="3">
        <v>4214.2495401755996</v>
      </c>
      <c r="O291" s="3">
        <v>3849.63778119774</v>
      </c>
      <c r="P291" s="3">
        <v>3485.0260222198799</v>
      </c>
      <c r="Q291" s="3">
        <v>3036.55135990292</v>
      </c>
      <c r="R291" s="3">
        <v>2588.0766975859501</v>
      </c>
      <c r="S291" s="3">
        <v>0</v>
      </c>
      <c r="U291">
        <v>6.5650385053740701</v>
      </c>
    </row>
    <row r="292" spans="2:21" x14ac:dyDescent="0.3">
      <c r="B292" s="43"/>
      <c r="C292" s="77">
        <v>2.25</v>
      </c>
      <c r="D292" s="3">
        <v>10220.4578873994</v>
      </c>
      <c r="E292" s="3">
        <v>9800.7157149773211</v>
      </c>
      <c r="F292" s="3">
        <v>9380.9735425551899</v>
      </c>
      <c r="G292" s="3">
        <v>10000.279675723601</v>
      </c>
      <c r="H292" s="3">
        <v>10619.585808891999</v>
      </c>
      <c r="I292" s="3">
        <v>10254.5007033936</v>
      </c>
      <c r="J292" s="3">
        <v>9889.4155978951112</v>
      </c>
      <c r="K292" s="3">
        <v>9416.3529466386499</v>
      </c>
      <c r="L292" s="3">
        <v>8943.2902953821886</v>
      </c>
      <c r="M292" s="3">
        <v>7705.0603931822598</v>
      </c>
      <c r="N292" s="3">
        <v>6466.8304909823401</v>
      </c>
      <c r="O292" s="3">
        <v>5988.3276219954196</v>
      </c>
      <c r="P292" s="3">
        <v>5509.82475300849</v>
      </c>
      <c r="Q292" s="3">
        <v>4773.5660219818301</v>
      </c>
      <c r="R292" s="3">
        <v>4037.3072909551597</v>
      </c>
      <c r="S292" s="3">
        <v>0</v>
      </c>
      <c r="U292">
        <v>10.2204578873994</v>
      </c>
    </row>
    <row r="293" spans="2:21" x14ac:dyDescent="0.3">
      <c r="B293" s="43"/>
      <c r="C293" s="77">
        <v>2.75</v>
      </c>
      <c r="D293" s="3">
        <v>15048.137283190001</v>
      </c>
      <c r="E293" s="3">
        <v>14762.737017518801</v>
      </c>
      <c r="F293" s="3">
        <v>14477.336751847701</v>
      </c>
      <c r="G293" s="3">
        <v>15140.5745569071</v>
      </c>
      <c r="H293" s="3">
        <v>15803.8123619665</v>
      </c>
      <c r="I293" s="3">
        <v>15592.625304224199</v>
      </c>
      <c r="J293" s="3">
        <v>15381.438246481901</v>
      </c>
      <c r="K293" s="3">
        <v>13936.1962826902</v>
      </c>
      <c r="L293" s="3">
        <v>12490.954318898501</v>
      </c>
      <c r="M293" s="3">
        <v>10894.441426432399</v>
      </c>
      <c r="N293" s="3">
        <v>9297.9285339664002</v>
      </c>
      <c r="O293" s="3">
        <v>8205.2948830143305</v>
      </c>
      <c r="P293" s="3">
        <v>7112.6612320622598</v>
      </c>
      <c r="Q293" s="3">
        <v>6574.3427557514697</v>
      </c>
      <c r="R293" s="3">
        <v>6036.0242794406795</v>
      </c>
      <c r="S293" s="3">
        <v>0</v>
      </c>
      <c r="U293">
        <v>15.04813728319</v>
      </c>
    </row>
    <row r="294" spans="2:21" x14ac:dyDescent="0.3">
      <c r="B294" s="43"/>
      <c r="C294" s="77">
        <v>3.25</v>
      </c>
      <c r="D294" s="3">
        <v>19875.8166789805</v>
      </c>
      <c r="E294" s="3">
        <v>19724.758320060399</v>
      </c>
      <c r="F294" s="3">
        <v>19573.699961140199</v>
      </c>
      <c r="G294" s="3">
        <v>20280.869438090602</v>
      </c>
      <c r="H294" s="3">
        <v>20988.038915040997</v>
      </c>
      <c r="I294" s="3">
        <v>20930.749905054799</v>
      </c>
      <c r="J294" s="3">
        <v>20873.460895068602</v>
      </c>
      <c r="K294" s="3">
        <v>18456.039618741699</v>
      </c>
      <c r="L294" s="3">
        <v>16038.6183424148</v>
      </c>
      <c r="M294" s="3">
        <v>14083.822459682598</v>
      </c>
      <c r="N294" s="3">
        <v>12129.026576950499</v>
      </c>
      <c r="O294" s="3">
        <v>10422.262144033199</v>
      </c>
      <c r="P294" s="3">
        <v>8715.4977111160206</v>
      </c>
      <c r="Q294" s="3">
        <v>8375.1194895211102</v>
      </c>
      <c r="R294" s="3">
        <v>8034.7412679262006</v>
      </c>
      <c r="S294" s="3">
        <v>0</v>
      </c>
      <c r="U294">
        <v>19.875816678980499</v>
      </c>
    </row>
    <row r="295" spans="2:21" x14ac:dyDescent="0.3">
      <c r="B295" s="43"/>
      <c r="C295" s="77">
        <v>3.75</v>
      </c>
      <c r="D295" s="3">
        <v>27504.999975854102</v>
      </c>
      <c r="E295" s="3">
        <v>28606.7503260339</v>
      </c>
      <c r="F295" s="3">
        <v>29708.5006762138</v>
      </c>
      <c r="G295" s="3">
        <v>29192.015157131798</v>
      </c>
      <c r="H295" s="3">
        <v>28675.529638049698</v>
      </c>
      <c r="I295" s="3">
        <v>27495.656701765998</v>
      </c>
      <c r="J295" s="3">
        <v>26315.783765482302</v>
      </c>
      <c r="K295" s="3">
        <v>23287.826919449897</v>
      </c>
      <c r="L295" s="3">
        <v>20259.870073417398</v>
      </c>
      <c r="M295" s="3">
        <v>18625.511106580198</v>
      </c>
      <c r="N295" s="3">
        <v>16991.152139742902</v>
      </c>
      <c r="O295" s="3">
        <v>15049.4423511939</v>
      </c>
      <c r="P295" s="3">
        <v>13107.7325626449</v>
      </c>
      <c r="Q295" s="3">
        <v>11252.9523994602</v>
      </c>
      <c r="R295" s="3">
        <v>9398.1722362755409</v>
      </c>
      <c r="S295" s="3">
        <v>0</v>
      </c>
      <c r="U295">
        <v>27.504999975854101</v>
      </c>
    </row>
    <row r="296" spans="2:21" x14ac:dyDescent="0.3">
      <c r="B296" s="43"/>
      <c r="C296" s="77">
        <v>4.25</v>
      </c>
      <c r="D296" s="3">
        <v>35134.183272727598</v>
      </c>
      <c r="E296" s="3">
        <v>37488.742332007496</v>
      </c>
      <c r="F296" s="3">
        <v>39843.301391287394</v>
      </c>
      <c r="G296" s="3">
        <v>38103.1608761729</v>
      </c>
      <c r="H296" s="3">
        <v>36363.020361058298</v>
      </c>
      <c r="I296" s="3">
        <v>34060.563498477102</v>
      </c>
      <c r="J296" s="3">
        <v>31758.1066358959</v>
      </c>
      <c r="K296" s="3">
        <v>28119.614220158001</v>
      </c>
      <c r="L296" s="3">
        <v>24481.121804420098</v>
      </c>
      <c r="M296" s="3">
        <v>23167.1997534777</v>
      </c>
      <c r="N296" s="3">
        <v>21853.277702535303</v>
      </c>
      <c r="O296" s="3">
        <v>19676.622558354498</v>
      </c>
      <c r="P296" s="3">
        <v>17499.967414173701</v>
      </c>
      <c r="Q296" s="3">
        <v>14130.7853093993</v>
      </c>
      <c r="R296" s="3">
        <v>10761.6032046249</v>
      </c>
      <c r="S296" s="3">
        <v>0</v>
      </c>
      <c r="U296">
        <v>35.134183272727597</v>
      </c>
    </row>
    <row r="297" spans="2:21" x14ac:dyDescent="0.3">
      <c r="B297" s="43"/>
      <c r="C297" s="77">
        <v>4.75</v>
      </c>
      <c r="D297" s="3">
        <v>43303.986355588204</v>
      </c>
      <c r="E297" s="3">
        <v>45786.619035087802</v>
      </c>
      <c r="F297" s="3">
        <v>48269.251714587401</v>
      </c>
      <c r="G297" s="3">
        <v>50509.0817057034</v>
      </c>
      <c r="H297" s="3">
        <v>52748.911696819298</v>
      </c>
      <c r="I297" s="3">
        <v>47154.022395134598</v>
      </c>
      <c r="J297" s="3">
        <v>41559.133093449804</v>
      </c>
      <c r="K297" s="3">
        <v>38316.902780031698</v>
      </c>
      <c r="L297" s="3">
        <v>35074.6724666136</v>
      </c>
      <c r="M297" s="3">
        <v>31593.2272163245</v>
      </c>
      <c r="N297" s="3">
        <v>28111.781966035502</v>
      </c>
      <c r="O297" s="3">
        <v>26537.255202265398</v>
      </c>
      <c r="P297" s="3">
        <v>24962.728438495302</v>
      </c>
      <c r="Q297" s="3">
        <v>20473.025898768599</v>
      </c>
      <c r="R297" s="3">
        <v>15983.3233590419</v>
      </c>
      <c r="S297" s="3">
        <v>0</v>
      </c>
      <c r="U297">
        <v>43.303986355588201</v>
      </c>
    </row>
    <row r="298" spans="2:21" x14ac:dyDescent="0.3">
      <c r="B298" s="43"/>
      <c r="C298" s="77">
        <v>5.25</v>
      </c>
      <c r="D298" s="3">
        <v>51473.789438448701</v>
      </c>
      <c r="E298" s="3">
        <v>54084.495738168</v>
      </c>
      <c r="F298" s="3">
        <v>56695.2020378874</v>
      </c>
      <c r="G298" s="3">
        <v>62915.002535233805</v>
      </c>
      <c r="H298" s="3">
        <v>69134.803032580196</v>
      </c>
      <c r="I298" s="3">
        <v>60247.481291791999</v>
      </c>
      <c r="J298" s="3">
        <v>51360.1595510037</v>
      </c>
      <c r="K298" s="3">
        <v>48514.191339905403</v>
      </c>
      <c r="L298" s="3">
        <v>45668.223128807098</v>
      </c>
      <c r="M298" s="3">
        <v>40019.254679171398</v>
      </c>
      <c r="N298" s="3">
        <v>34370.286229535697</v>
      </c>
      <c r="O298" s="3">
        <v>33397.887846176302</v>
      </c>
      <c r="P298" s="3">
        <v>32425.489462816899</v>
      </c>
      <c r="Q298" s="3">
        <v>26815.2664881378</v>
      </c>
      <c r="R298" s="3">
        <v>21205.043513458801</v>
      </c>
      <c r="S298" s="3">
        <v>0</v>
      </c>
      <c r="U298">
        <v>51.473789438448698</v>
      </c>
    </row>
    <row r="299" spans="2:21" x14ac:dyDescent="0.3">
      <c r="B299" s="43"/>
      <c r="C299" s="77">
        <v>5.75</v>
      </c>
      <c r="D299" s="3">
        <v>63034.998776809094</v>
      </c>
      <c r="E299" s="3">
        <v>64750.640470338498</v>
      </c>
      <c r="F299" s="3">
        <v>66466.282163868003</v>
      </c>
      <c r="G299" s="3">
        <v>75024.272008040702</v>
      </c>
      <c r="H299" s="3">
        <v>83582.2618522134</v>
      </c>
      <c r="I299" s="3">
        <v>72619.308495224599</v>
      </c>
      <c r="J299" s="3">
        <v>61656.355138235805</v>
      </c>
      <c r="K299" s="3">
        <v>58483.922117114998</v>
      </c>
      <c r="L299" s="3">
        <v>55311.489095994199</v>
      </c>
      <c r="M299" s="3">
        <v>50173.011078942203</v>
      </c>
      <c r="N299" s="3">
        <v>45034.533061890201</v>
      </c>
      <c r="O299" s="3">
        <v>39890.075877720999</v>
      </c>
      <c r="P299" s="3">
        <v>34745.6186935519</v>
      </c>
      <c r="Q299" s="3">
        <v>28589.3438471886</v>
      </c>
      <c r="R299" s="3">
        <v>22433.069000825402</v>
      </c>
      <c r="S299" s="3">
        <v>0</v>
      </c>
      <c r="U299">
        <v>63.034998776809097</v>
      </c>
    </row>
    <row r="300" spans="2:21" x14ac:dyDescent="0.3">
      <c r="B300" s="43"/>
      <c r="C300" s="77">
        <v>6.25</v>
      </c>
      <c r="D300" s="3">
        <v>74596.2081151694</v>
      </c>
      <c r="E300" s="3">
        <v>75416.785202509011</v>
      </c>
      <c r="F300" s="3">
        <v>76237.362289848505</v>
      </c>
      <c r="G300" s="3">
        <v>87133.541480847503</v>
      </c>
      <c r="H300" s="3">
        <v>98029.720671846502</v>
      </c>
      <c r="I300" s="3">
        <v>84991.135698657206</v>
      </c>
      <c r="J300" s="3">
        <v>71952.550725467998</v>
      </c>
      <c r="K300" s="3">
        <v>68453.65289432471</v>
      </c>
      <c r="L300" s="3">
        <v>64954.755063181292</v>
      </c>
      <c r="M300" s="3">
        <v>60326.767478713002</v>
      </c>
      <c r="N300" s="3">
        <v>55698.779894244704</v>
      </c>
      <c r="O300" s="3">
        <v>46382.263909265799</v>
      </c>
      <c r="P300" s="3">
        <v>37065.747924286901</v>
      </c>
      <c r="Q300" s="3">
        <v>30363.4212062394</v>
      </c>
      <c r="R300" s="3">
        <v>23661.094488191899</v>
      </c>
      <c r="S300" s="3">
        <v>0</v>
      </c>
      <c r="U300">
        <v>74.596208115169404</v>
      </c>
    </row>
    <row r="301" spans="2:21" x14ac:dyDescent="0.3">
      <c r="B301" s="43"/>
      <c r="C301" s="77">
        <v>6.75</v>
      </c>
      <c r="D301" s="3">
        <v>74596.2081151694</v>
      </c>
      <c r="E301" s="3">
        <v>75416.785202509011</v>
      </c>
      <c r="F301" s="3">
        <v>76237.362289848505</v>
      </c>
      <c r="G301" s="3">
        <v>87133.541480847503</v>
      </c>
      <c r="H301" s="3">
        <v>98029.720671846502</v>
      </c>
      <c r="I301" s="3">
        <v>84991.135698657206</v>
      </c>
      <c r="J301" s="3">
        <v>71952.550725467998</v>
      </c>
      <c r="K301" s="3">
        <v>68453.65289432471</v>
      </c>
      <c r="L301" s="3">
        <v>64954.755063181292</v>
      </c>
      <c r="M301" s="3">
        <v>60326.767478713002</v>
      </c>
      <c r="N301" s="3">
        <v>55698.779894244704</v>
      </c>
      <c r="O301" s="3">
        <v>46382.263909265799</v>
      </c>
      <c r="P301" s="3">
        <v>37065.747924286901</v>
      </c>
      <c r="Q301" s="3">
        <v>30363.4212062394</v>
      </c>
      <c r="R301" s="3">
        <v>23661.094488191899</v>
      </c>
      <c r="S301" s="3">
        <v>0</v>
      </c>
    </row>
    <row r="302" spans="2:21" x14ac:dyDescent="0.3">
      <c r="B302" s="43"/>
      <c r="C302" s="77">
        <v>7.25</v>
      </c>
      <c r="D302" s="3">
        <v>74596.2081151694</v>
      </c>
      <c r="E302" s="3">
        <v>75416.785202509011</v>
      </c>
      <c r="F302" s="3">
        <v>76237.362289848505</v>
      </c>
      <c r="G302" s="3">
        <v>87133.541480847503</v>
      </c>
      <c r="H302" s="3">
        <v>98029.720671846502</v>
      </c>
      <c r="I302" s="3">
        <v>84991.135698657206</v>
      </c>
      <c r="J302" s="3">
        <v>71952.550725467998</v>
      </c>
      <c r="K302" s="3">
        <v>68453.65289432471</v>
      </c>
      <c r="L302" s="3">
        <v>64954.755063181292</v>
      </c>
      <c r="M302" s="3">
        <v>60326.767478713002</v>
      </c>
      <c r="N302" s="3">
        <v>55698.779894244704</v>
      </c>
      <c r="O302" s="3">
        <v>46382.263909265799</v>
      </c>
      <c r="P302" s="3">
        <v>37065.747924286901</v>
      </c>
      <c r="Q302" s="3">
        <v>30363.4212062394</v>
      </c>
      <c r="R302" s="3">
        <v>23661.094488191899</v>
      </c>
      <c r="S302" s="3">
        <v>0</v>
      </c>
    </row>
    <row r="303" spans="2:21" x14ac:dyDescent="0.3">
      <c r="B303" s="43"/>
      <c r="C303" s="77">
        <v>7.75</v>
      </c>
      <c r="D303" s="3">
        <v>74596.2081151694</v>
      </c>
      <c r="E303" s="3">
        <v>75416.785202509011</v>
      </c>
      <c r="F303" s="3">
        <v>76237.362289848505</v>
      </c>
      <c r="G303" s="3">
        <v>87133.541480847503</v>
      </c>
      <c r="H303" s="3">
        <v>98029.720671846502</v>
      </c>
      <c r="I303" s="3">
        <v>84991.135698657206</v>
      </c>
      <c r="J303" s="3">
        <v>71952.550725467998</v>
      </c>
      <c r="K303" s="3">
        <v>68453.65289432471</v>
      </c>
      <c r="L303" s="3">
        <v>64954.755063181292</v>
      </c>
      <c r="M303" s="3">
        <v>60326.767478713002</v>
      </c>
      <c r="N303" s="3">
        <v>55698.779894244704</v>
      </c>
      <c r="O303" s="3">
        <v>46382.263909265799</v>
      </c>
      <c r="P303" s="3">
        <v>37065.747924286901</v>
      </c>
      <c r="Q303" s="3">
        <v>30363.4212062394</v>
      </c>
      <c r="R303" s="3">
        <v>23661.094488191899</v>
      </c>
      <c r="S303" s="3">
        <v>0</v>
      </c>
    </row>
    <row r="304" spans="2:21" x14ac:dyDescent="0.3">
      <c r="B304" s="43"/>
      <c r="C304" s="77">
        <v>8.25</v>
      </c>
      <c r="D304" s="3">
        <v>74596.2081151694</v>
      </c>
      <c r="E304" s="3">
        <v>75416.785202509011</v>
      </c>
      <c r="F304" s="3">
        <v>76237.362289848505</v>
      </c>
      <c r="G304" s="3">
        <v>87133.541480847503</v>
      </c>
      <c r="H304" s="3">
        <v>98029.720671846502</v>
      </c>
      <c r="I304" s="3">
        <v>84991.135698657206</v>
      </c>
      <c r="J304" s="3">
        <v>71952.550725467998</v>
      </c>
      <c r="K304" s="3">
        <v>68453.65289432471</v>
      </c>
      <c r="L304" s="3">
        <v>64954.755063181292</v>
      </c>
      <c r="M304" s="3">
        <v>60326.767478713002</v>
      </c>
      <c r="N304" s="3">
        <v>55698.779894244704</v>
      </c>
      <c r="O304" s="3">
        <v>46382.263909265799</v>
      </c>
      <c r="P304" s="3">
        <v>37065.747924286901</v>
      </c>
      <c r="Q304" s="3">
        <v>30363.4212062394</v>
      </c>
      <c r="R304" s="3">
        <v>23661.094488191899</v>
      </c>
      <c r="S304" s="3">
        <v>0</v>
      </c>
    </row>
    <row r="305" spans="1:19" x14ac:dyDescent="0.3">
      <c r="B305" s="43"/>
      <c r="C305" s="77">
        <v>8.75</v>
      </c>
      <c r="D305" s="3">
        <v>74596.2081151694</v>
      </c>
      <c r="E305" s="3">
        <v>75416.785202509011</v>
      </c>
      <c r="F305" s="3">
        <v>76237.362289848505</v>
      </c>
      <c r="G305" s="3">
        <v>87133.541480847503</v>
      </c>
      <c r="H305" s="3">
        <v>98029.720671846502</v>
      </c>
      <c r="I305" s="3">
        <v>84991.135698657206</v>
      </c>
      <c r="J305" s="3">
        <v>71952.550725467998</v>
      </c>
      <c r="K305" s="3">
        <v>68453.65289432471</v>
      </c>
      <c r="L305" s="3">
        <v>64954.755063181292</v>
      </c>
      <c r="M305" s="3">
        <v>60326.767478713002</v>
      </c>
      <c r="N305" s="3">
        <v>55698.779894244704</v>
      </c>
      <c r="O305" s="3">
        <v>46382.263909265799</v>
      </c>
      <c r="P305" s="3">
        <v>37065.747924286901</v>
      </c>
      <c r="Q305" s="3">
        <v>30363.4212062394</v>
      </c>
      <c r="R305" s="3">
        <v>23661.094488191899</v>
      </c>
      <c r="S305" s="3">
        <v>0</v>
      </c>
    </row>
    <row r="306" spans="1:19" x14ac:dyDescent="0.3">
      <c r="B306" s="43"/>
      <c r="C306" s="77">
        <v>9.25</v>
      </c>
      <c r="D306" s="3">
        <v>74596.2081151694</v>
      </c>
      <c r="E306" s="3">
        <v>75416.785202509011</v>
      </c>
      <c r="F306" s="3">
        <v>76237.362289848505</v>
      </c>
      <c r="G306" s="3">
        <v>87133.541480847503</v>
      </c>
      <c r="H306" s="3">
        <v>98029.720671846502</v>
      </c>
      <c r="I306" s="3">
        <v>84991.135698657206</v>
      </c>
      <c r="J306" s="3">
        <v>71952.550725467998</v>
      </c>
      <c r="K306" s="3">
        <v>68453.65289432471</v>
      </c>
      <c r="L306" s="3">
        <v>64954.755063181292</v>
      </c>
      <c r="M306" s="3">
        <v>60326.767478713002</v>
      </c>
      <c r="N306" s="3">
        <v>55698.779894244704</v>
      </c>
      <c r="O306" s="3">
        <v>46382.263909265799</v>
      </c>
      <c r="P306" s="3">
        <v>37065.747924286901</v>
      </c>
      <c r="Q306" s="3">
        <v>30363.4212062394</v>
      </c>
      <c r="R306" s="3">
        <v>23661.094488191899</v>
      </c>
      <c r="S306" s="3">
        <v>0</v>
      </c>
    </row>
    <row r="307" spans="1:19" x14ac:dyDescent="0.3">
      <c r="B307" s="43"/>
      <c r="C307" s="77">
        <v>9.75</v>
      </c>
      <c r="D307" s="3">
        <v>74596.2081151694</v>
      </c>
      <c r="E307" s="3">
        <v>75416.785202509011</v>
      </c>
      <c r="F307" s="3">
        <v>76237.362289848505</v>
      </c>
      <c r="G307" s="3">
        <v>87133.541480847503</v>
      </c>
      <c r="H307" s="3">
        <v>98029.720671846502</v>
      </c>
      <c r="I307" s="3">
        <v>84991.135698657206</v>
      </c>
      <c r="J307" s="3">
        <v>71952.550725467998</v>
      </c>
      <c r="K307" s="3">
        <v>68453.65289432471</v>
      </c>
      <c r="L307" s="3">
        <v>64954.755063181292</v>
      </c>
      <c r="M307" s="3">
        <v>60326.767478713002</v>
      </c>
      <c r="N307" s="3">
        <v>55698.779894244704</v>
      </c>
      <c r="O307" s="3">
        <v>46382.263909265799</v>
      </c>
      <c r="P307" s="3">
        <v>37065.747924286901</v>
      </c>
      <c r="Q307" s="3">
        <v>30363.4212062394</v>
      </c>
      <c r="R307" s="3">
        <v>23661.094488191899</v>
      </c>
      <c r="S307" s="3">
        <v>0</v>
      </c>
    </row>
    <row r="309" spans="1:19" x14ac:dyDescent="0.3">
      <c r="A309">
        <v>9</v>
      </c>
      <c r="B309" s="110"/>
    </row>
    <row r="310" spans="1:19" x14ac:dyDescent="0.3">
      <c r="A310" s="45" t="s">
        <v>89</v>
      </c>
      <c r="B310" s="43"/>
    </row>
    <row r="311" spans="1:19" x14ac:dyDescent="0.3">
      <c r="A311" s="43"/>
      <c r="B311" s="43" t="s">
        <v>91</v>
      </c>
      <c r="D311">
        <v>5</v>
      </c>
      <c r="E311" t="s">
        <v>4</v>
      </c>
    </row>
    <row r="312" spans="1:19" x14ac:dyDescent="0.3">
      <c r="A312" s="43"/>
      <c r="B312" s="43" t="s">
        <v>93</v>
      </c>
      <c r="D312">
        <v>2.5</v>
      </c>
      <c r="E312" t="s">
        <v>4</v>
      </c>
    </row>
    <row r="313" spans="1:19" x14ac:dyDescent="0.3">
      <c r="A313" s="43"/>
      <c r="B313" s="43" t="s">
        <v>124</v>
      </c>
      <c r="D313" s="6">
        <f>(D311/2)^2*PI()*D312</f>
        <v>49.087385212340521</v>
      </c>
      <c r="E313" t="s">
        <v>5</v>
      </c>
    </row>
    <row r="314" spans="1:19" x14ac:dyDescent="0.3">
      <c r="A314" s="43"/>
      <c r="B314" s="43" t="s">
        <v>12</v>
      </c>
      <c r="D314">
        <v>0</v>
      </c>
      <c r="E314" t="s">
        <v>125</v>
      </c>
    </row>
    <row r="315" spans="1:19" x14ac:dyDescent="0.3">
      <c r="A315" s="43"/>
      <c r="B315" s="43" t="s">
        <v>126</v>
      </c>
      <c r="D315">
        <v>0.1</v>
      </c>
    </row>
    <row r="316" spans="1:19" x14ac:dyDescent="0.3">
      <c r="B316" s="43" t="s">
        <v>127</v>
      </c>
      <c r="D316">
        <v>0.1</v>
      </c>
    </row>
    <row r="317" spans="1:19" x14ac:dyDescent="0.3">
      <c r="B317" s="43" t="s">
        <v>145</v>
      </c>
      <c r="D317">
        <v>1</v>
      </c>
    </row>
    <row r="319" spans="1:19" x14ac:dyDescent="0.3">
      <c r="A319" s="7" t="s">
        <v>18</v>
      </c>
    </row>
    <row r="320" spans="1:19" x14ac:dyDescent="0.3">
      <c r="B320" s="43"/>
      <c r="C320" s="43"/>
      <c r="D320" s="43" t="s">
        <v>117</v>
      </c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</row>
    <row r="321" spans="2:21" x14ac:dyDescent="0.3">
      <c r="B321" s="43"/>
      <c r="C321" s="75"/>
      <c r="D321" s="76">
        <v>4.5</v>
      </c>
      <c r="E321" s="76">
        <v>5.5</v>
      </c>
      <c r="F321" s="76">
        <v>6.5</v>
      </c>
      <c r="G321" s="76">
        <v>7.5</v>
      </c>
      <c r="H321" s="76">
        <v>8.5</v>
      </c>
      <c r="I321" s="76">
        <v>9.5</v>
      </c>
      <c r="J321" s="76">
        <v>10.5</v>
      </c>
      <c r="K321" s="76">
        <v>11.5</v>
      </c>
      <c r="L321" s="76">
        <v>12.5</v>
      </c>
      <c r="M321" s="76">
        <v>13.5</v>
      </c>
      <c r="N321" s="76">
        <v>14.5</v>
      </c>
      <c r="O321" s="76">
        <v>15.5</v>
      </c>
      <c r="P321" s="76">
        <v>16.5</v>
      </c>
      <c r="Q321" s="76">
        <v>17.5</v>
      </c>
      <c r="R321" s="76">
        <v>18.5</v>
      </c>
      <c r="S321" s="76">
        <v>19.5</v>
      </c>
    </row>
    <row r="322" spans="2:21" x14ac:dyDescent="0.3">
      <c r="B322" s="43" t="s">
        <v>118</v>
      </c>
      <c r="C322" s="77">
        <v>0.25</v>
      </c>
      <c r="D322" s="3">
        <v>169.65857204015299</v>
      </c>
      <c r="E322" s="3">
        <v>178.35308813188399</v>
      </c>
      <c r="F322" s="3">
        <v>187.047604223614</v>
      </c>
      <c r="G322" s="3">
        <v>192.93429927447801</v>
      </c>
      <c r="H322" s="3">
        <v>198.82099432534102</v>
      </c>
      <c r="I322" s="3">
        <v>175.68282400288402</v>
      </c>
      <c r="J322" s="3">
        <v>152.54465368042699</v>
      </c>
      <c r="K322" s="3">
        <v>164.44910362858002</v>
      </c>
      <c r="L322" s="3">
        <v>176.353553576732</v>
      </c>
      <c r="M322" s="3">
        <v>152.52753418639</v>
      </c>
      <c r="N322" s="3">
        <v>128.701514796048</v>
      </c>
      <c r="O322" s="3">
        <v>107.02925399372199</v>
      </c>
      <c r="P322" s="3">
        <v>85.356993191396299</v>
      </c>
      <c r="Q322" s="3">
        <v>77.7311101460662</v>
      </c>
      <c r="R322" s="3">
        <v>70.105227100736101</v>
      </c>
      <c r="S322" s="3">
        <v>0</v>
      </c>
      <c r="U322">
        <v>0.169658572040153</v>
      </c>
    </row>
    <row r="323" spans="2:21" x14ac:dyDescent="0.3">
      <c r="B323" s="43"/>
      <c r="C323" s="77">
        <v>0.75</v>
      </c>
      <c r="D323" s="3">
        <v>2261.6866231260901</v>
      </c>
      <c r="E323" s="3">
        <v>2326.7787109381502</v>
      </c>
      <c r="F323" s="3">
        <v>2391.8707987502003</v>
      </c>
      <c r="G323" s="3">
        <v>2371.1115874140896</v>
      </c>
      <c r="H323" s="3">
        <v>2350.3523760779799</v>
      </c>
      <c r="I323" s="3">
        <v>2286.69513919665</v>
      </c>
      <c r="J323" s="3">
        <v>2223.03790231532</v>
      </c>
      <c r="K323" s="3">
        <v>2044.22438367417</v>
      </c>
      <c r="L323" s="3">
        <v>1865.4108650330199</v>
      </c>
      <c r="M323" s="3">
        <v>1813.74278538305</v>
      </c>
      <c r="N323" s="3">
        <v>1762.0747057330798</v>
      </c>
      <c r="O323" s="3">
        <v>1449.1372198031199</v>
      </c>
      <c r="P323" s="3">
        <v>1136.1997338731601</v>
      </c>
      <c r="Q323" s="3">
        <v>1061.2128372104198</v>
      </c>
      <c r="R323" s="3">
        <v>986.22594054768001</v>
      </c>
      <c r="S323" s="3">
        <v>0</v>
      </c>
      <c r="U323">
        <v>2.2616866231260899</v>
      </c>
    </row>
    <row r="324" spans="2:21" x14ac:dyDescent="0.3">
      <c r="B324" s="43"/>
      <c r="C324" s="77">
        <v>1.25</v>
      </c>
      <c r="D324" s="3">
        <v>4353.7146742120303</v>
      </c>
      <c r="E324" s="3">
        <v>4475.2043337444093</v>
      </c>
      <c r="F324" s="3">
        <v>4596.69399327679</v>
      </c>
      <c r="G324" s="3">
        <v>4549.2888755537106</v>
      </c>
      <c r="H324" s="3">
        <v>4501.8837578306293</v>
      </c>
      <c r="I324" s="3">
        <v>4397.70745439042</v>
      </c>
      <c r="J324" s="3">
        <v>4293.5311509502199</v>
      </c>
      <c r="K324" s="3">
        <v>3923.9996637197596</v>
      </c>
      <c r="L324" s="3">
        <v>3554.4681764893098</v>
      </c>
      <c r="M324" s="3">
        <v>3474.9580365797201</v>
      </c>
      <c r="N324" s="3">
        <v>3395.4478966701199</v>
      </c>
      <c r="O324" s="3">
        <v>2791.2451856125199</v>
      </c>
      <c r="P324" s="3">
        <v>2187.0424745549203</v>
      </c>
      <c r="Q324" s="3">
        <v>2044.6945642747698</v>
      </c>
      <c r="R324" s="3">
        <v>1902.3466539946201</v>
      </c>
      <c r="S324" s="3">
        <v>0</v>
      </c>
      <c r="U324">
        <v>4.3537146742120303</v>
      </c>
    </row>
    <row r="325" spans="2:21" x14ac:dyDescent="0.3">
      <c r="B325" s="43"/>
      <c r="C325" s="77">
        <v>1.75</v>
      </c>
      <c r="D325" s="3">
        <v>8041.1928413592905</v>
      </c>
      <c r="E325" s="3">
        <v>8846.9451000692898</v>
      </c>
      <c r="F325" s="3">
        <v>9652.69735877928</v>
      </c>
      <c r="G325" s="3">
        <v>9405.5915148012609</v>
      </c>
      <c r="H325" s="3">
        <v>9158.4856708232401</v>
      </c>
      <c r="I325" s="3">
        <v>8857.4047268507002</v>
      </c>
      <c r="J325" s="3">
        <v>8556.3237828781603</v>
      </c>
      <c r="K325" s="3">
        <v>7930.7707085604407</v>
      </c>
      <c r="L325" s="3">
        <v>7305.2176342427101</v>
      </c>
      <c r="M325" s="3">
        <v>6871.4020268812601</v>
      </c>
      <c r="N325" s="3">
        <v>6437.5864195198201</v>
      </c>
      <c r="O325" s="3">
        <v>5694.3493094507694</v>
      </c>
      <c r="P325" s="3">
        <v>4951.1121993817205</v>
      </c>
      <c r="Q325" s="3">
        <v>4326.4016034095494</v>
      </c>
      <c r="R325" s="3">
        <v>3701.69100743737</v>
      </c>
      <c r="S325" s="3">
        <v>0</v>
      </c>
      <c r="U325">
        <v>8.0411928413592904</v>
      </c>
    </row>
    <row r="326" spans="2:21" x14ac:dyDescent="0.3">
      <c r="B326" s="43"/>
      <c r="C326" s="77">
        <v>2.25</v>
      </c>
      <c r="D326" s="3">
        <v>11728.671008506601</v>
      </c>
      <c r="E326" s="3">
        <v>13218.6858663942</v>
      </c>
      <c r="F326" s="3">
        <v>14708.7007242818</v>
      </c>
      <c r="G326" s="3">
        <v>14261.894154048799</v>
      </c>
      <c r="H326" s="3">
        <v>13815.087583815901</v>
      </c>
      <c r="I326" s="3">
        <v>13317.101999310999</v>
      </c>
      <c r="J326" s="3">
        <v>12819.1164148061</v>
      </c>
      <c r="K326" s="3">
        <v>11937.541753401099</v>
      </c>
      <c r="L326" s="3">
        <v>11055.967091996101</v>
      </c>
      <c r="M326" s="3">
        <v>10267.846017182799</v>
      </c>
      <c r="N326" s="3">
        <v>9479.7249423695193</v>
      </c>
      <c r="O326" s="3">
        <v>8597.4534332890198</v>
      </c>
      <c r="P326" s="3">
        <v>7715.1819242085194</v>
      </c>
      <c r="Q326" s="3">
        <v>6608.10864254432</v>
      </c>
      <c r="R326" s="3">
        <v>5501.0353608801206</v>
      </c>
      <c r="S326" s="3">
        <v>0</v>
      </c>
      <c r="U326">
        <v>11.7286710085066</v>
      </c>
    </row>
    <row r="327" spans="2:21" x14ac:dyDescent="0.3">
      <c r="B327" s="43"/>
      <c r="C327" s="77">
        <v>2.75</v>
      </c>
      <c r="D327" s="3">
        <v>19816.626264347502</v>
      </c>
      <c r="E327" s="3">
        <v>21634.1882578117</v>
      </c>
      <c r="F327" s="3">
        <v>23451.7502512758</v>
      </c>
      <c r="G327" s="3">
        <v>21878.6753933744</v>
      </c>
      <c r="H327" s="3">
        <v>20305.600535473</v>
      </c>
      <c r="I327" s="3">
        <v>20617.7257429573</v>
      </c>
      <c r="J327" s="3">
        <v>20929.8509504416</v>
      </c>
      <c r="K327" s="3">
        <v>18846.2118201792</v>
      </c>
      <c r="L327" s="3">
        <v>16762.572689916698</v>
      </c>
      <c r="M327" s="3">
        <v>15494.107382427301</v>
      </c>
      <c r="N327" s="3">
        <v>14225.642074937801</v>
      </c>
      <c r="O327" s="3">
        <v>12824.9429115892</v>
      </c>
      <c r="P327" s="3">
        <v>11424.2437482407</v>
      </c>
      <c r="Q327" s="3">
        <v>9956.9938442003095</v>
      </c>
      <c r="R327" s="3">
        <v>8489.7439401599695</v>
      </c>
      <c r="S327" s="3">
        <v>0</v>
      </c>
      <c r="U327">
        <v>19.816626264347502</v>
      </c>
    </row>
    <row r="328" spans="2:21" x14ac:dyDescent="0.3">
      <c r="B328" s="43"/>
      <c r="C328" s="77">
        <v>3.25</v>
      </c>
      <c r="D328" s="3">
        <v>27904.5815201884</v>
      </c>
      <c r="E328" s="3">
        <v>30049.6906492292</v>
      </c>
      <c r="F328" s="3">
        <v>32194.799778269902</v>
      </c>
      <c r="G328" s="3">
        <v>29495.456632700003</v>
      </c>
      <c r="H328" s="3">
        <v>26796.113487130198</v>
      </c>
      <c r="I328" s="3">
        <v>27918.349486603598</v>
      </c>
      <c r="J328" s="3">
        <v>29040.585486076998</v>
      </c>
      <c r="K328" s="3">
        <v>25754.881886957199</v>
      </c>
      <c r="L328" s="3">
        <v>22469.1782878374</v>
      </c>
      <c r="M328" s="3">
        <v>20720.368747671699</v>
      </c>
      <c r="N328" s="3">
        <v>18971.559207506099</v>
      </c>
      <c r="O328" s="3">
        <v>17052.4323898894</v>
      </c>
      <c r="P328" s="3">
        <v>15133.3055722728</v>
      </c>
      <c r="Q328" s="3">
        <v>13305.8790458563</v>
      </c>
      <c r="R328" s="3">
        <v>11478.452519439801</v>
      </c>
      <c r="S328" s="3">
        <v>0</v>
      </c>
      <c r="U328">
        <v>27.904581520188401</v>
      </c>
    </row>
    <row r="329" spans="2:21" x14ac:dyDescent="0.3">
      <c r="B329" s="43"/>
      <c r="C329" s="77">
        <v>3.75</v>
      </c>
      <c r="D329" s="3">
        <v>38075.802316979003</v>
      </c>
      <c r="E329" s="3">
        <v>40650.581071156303</v>
      </c>
      <c r="F329" s="3">
        <v>43225.359825333595</v>
      </c>
      <c r="G329" s="3">
        <v>40585.140990231899</v>
      </c>
      <c r="H329" s="3">
        <v>37944.922155130298</v>
      </c>
      <c r="I329" s="3">
        <v>38951.642259325599</v>
      </c>
      <c r="J329" s="3">
        <v>39958.362363520995</v>
      </c>
      <c r="K329" s="3">
        <v>36398.817354170198</v>
      </c>
      <c r="L329" s="3">
        <v>32839.272344819401</v>
      </c>
      <c r="M329" s="3">
        <v>29735.739807211899</v>
      </c>
      <c r="N329" s="3">
        <v>26632.2072696045</v>
      </c>
      <c r="O329" s="3">
        <v>23601.6291179783</v>
      </c>
      <c r="P329" s="3">
        <v>20571.050966352199</v>
      </c>
      <c r="Q329" s="3">
        <v>17975.920635455899</v>
      </c>
      <c r="R329" s="3">
        <v>15380.790304559599</v>
      </c>
      <c r="S329" s="3">
        <v>0</v>
      </c>
      <c r="U329">
        <v>38.075802316979001</v>
      </c>
    </row>
    <row r="330" spans="2:21" x14ac:dyDescent="0.3">
      <c r="B330" s="43"/>
      <c r="C330" s="77">
        <v>4.25</v>
      </c>
      <c r="D330" s="3">
        <v>48247.023113769603</v>
      </c>
      <c r="E330" s="3">
        <v>51251.471493083503</v>
      </c>
      <c r="F330" s="3">
        <v>54255.919872397397</v>
      </c>
      <c r="G330" s="3">
        <v>51674.825347763799</v>
      </c>
      <c r="H330" s="3">
        <v>49093.730823130303</v>
      </c>
      <c r="I330" s="3">
        <v>49984.935032047601</v>
      </c>
      <c r="J330" s="3">
        <v>50876.139240964905</v>
      </c>
      <c r="K330" s="3">
        <v>47042.752821383205</v>
      </c>
      <c r="L330" s="3">
        <v>43209.366401801504</v>
      </c>
      <c r="M330" s="3">
        <v>38751.110866752097</v>
      </c>
      <c r="N330" s="3">
        <v>34292.855331702805</v>
      </c>
      <c r="O330" s="3">
        <v>30150.825846067299</v>
      </c>
      <c r="P330" s="3">
        <v>26008.796360431697</v>
      </c>
      <c r="Q330" s="3">
        <v>22645.9622250555</v>
      </c>
      <c r="R330" s="3">
        <v>19283.128089679401</v>
      </c>
      <c r="S330" s="3">
        <v>0</v>
      </c>
      <c r="U330">
        <v>48.2470231137696</v>
      </c>
    </row>
    <row r="331" spans="2:21" x14ac:dyDescent="0.3">
      <c r="B331" s="43"/>
      <c r="C331" s="77">
        <v>4.75</v>
      </c>
      <c r="D331" s="3">
        <v>60789.741216078801</v>
      </c>
      <c r="E331" s="3">
        <v>63846.968372051597</v>
      </c>
      <c r="F331" s="3">
        <v>66904.195528024298</v>
      </c>
      <c r="G331" s="3">
        <v>66227.371475704102</v>
      </c>
      <c r="H331" s="3">
        <v>65550.547423383905</v>
      </c>
      <c r="I331" s="3">
        <v>63970.693572262906</v>
      </c>
      <c r="J331" s="3">
        <v>62390.839721141805</v>
      </c>
      <c r="K331" s="3">
        <v>61196.158429612296</v>
      </c>
      <c r="L331" s="3">
        <v>60001.477138082795</v>
      </c>
      <c r="M331" s="3">
        <v>55864.091950003502</v>
      </c>
      <c r="N331" s="3">
        <v>51726.706761924295</v>
      </c>
      <c r="O331" s="3">
        <v>41799.242627529602</v>
      </c>
      <c r="P331" s="3">
        <v>31871.778493134902</v>
      </c>
      <c r="Q331" s="3">
        <v>27868.198908246603</v>
      </c>
      <c r="R331" s="3">
        <v>23864.6193233583</v>
      </c>
      <c r="S331" s="3">
        <v>0</v>
      </c>
      <c r="U331">
        <v>60.789741216078802</v>
      </c>
    </row>
    <row r="332" spans="2:21" x14ac:dyDescent="0.3">
      <c r="B332" s="43"/>
      <c r="C332" s="77">
        <v>5.25</v>
      </c>
      <c r="D332" s="3">
        <v>73332.459318388108</v>
      </c>
      <c r="E332" s="3">
        <v>76442.465251019705</v>
      </c>
      <c r="F332" s="3">
        <v>79552.471183651302</v>
      </c>
      <c r="G332" s="3">
        <v>80779.917603644411</v>
      </c>
      <c r="H332" s="3">
        <v>82007.364023637609</v>
      </c>
      <c r="I332" s="3">
        <v>77956.452112478204</v>
      </c>
      <c r="J332" s="3">
        <v>73905.540201318698</v>
      </c>
      <c r="K332" s="3">
        <v>75349.56403784141</v>
      </c>
      <c r="L332" s="3">
        <v>76793.587874364108</v>
      </c>
      <c r="M332" s="3">
        <v>72977.073033254899</v>
      </c>
      <c r="N332" s="3">
        <v>69160.558192145705</v>
      </c>
      <c r="O332" s="3">
        <v>53447.659408991902</v>
      </c>
      <c r="P332" s="3">
        <v>37734.760625837996</v>
      </c>
      <c r="Q332" s="3">
        <v>33090.435591437599</v>
      </c>
      <c r="R332" s="3">
        <v>28446.110557037202</v>
      </c>
      <c r="S332" s="3">
        <v>0</v>
      </c>
      <c r="U332">
        <v>73.332459318388103</v>
      </c>
    </row>
    <row r="333" spans="2:21" x14ac:dyDescent="0.3">
      <c r="B333" s="43"/>
      <c r="C333" s="77">
        <v>5.75</v>
      </c>
      <c r="D333" s="3">
        <v>88770.727513113598</v>
      </c>
      <c r="E333" s="3">
        <v>95762.316528618991</v>
      </c>
      <c r="F333" s="3">
        <v>102753.90554412399</v>
      </c>
      <c r="G333" s="3">
        <v>101191.61328556199</v>
      </c>
      <c r="H333" s="3">
        <v>99629.321026999809</v>
      </c>
      <c r="I333" s="3">
        <v>94915.022220152809</v>
      </c>
      <c r="J333" s="3">
        <v>90200.723413305692</v>
      </c>
      <c r="K333" s="3">
        <v>88495.234605090402</v>
      </c>
      <c r="L333" s="3">
        <v>86789.745796875097</v>
      </c>
      <c r="M333" s="3">
        <v>79686.198818550911</v>
      </c>
      <c r="N333" s="3">
        <v>72582.651840226798</v>
      </c>
      <c r="O333" s="3">
        <v>60261.654994534503</v>
      </c>
      <c r="P333" s="3">
        <v>47940.658148842202</v>
      </c>
      <c r="Q333" s="3">
        <v>43397.733885073802</v>
      </c>
      <c r="R333" s="3">
        <v>38854.8096213053</v>
      </c>
      <c r="S333" s="3">
        <v>0</v>
      </c>
      <c r="U333">
        <v>88.770727513113599</v>
      </c>
    </row>
    <row r="334" spans="2:21" x14ac:dyDescent="0.3">
      <c r="B334" s="43"/>
      <c r="C334" s="77">
        <v>6.25</v>
      </c>
      <c r="D334" s="3">
        <v>104208.995707839</v>
      </c>
      <c r="E334" s="3">
        <v>115082.167806218</v>
      </c>
      <c r="F334" s="3">
        <v>125955.339904598</v>
      </c>
      <c r="G334" s="3">
        <v>121603.30896748</v>
      </c>
      <c r="H334" s="3">
        <v>117251.27803036199</v>
      </c>
      <c r="I334" s="3">
        <v>111873.59232782699</v>
      </c>
      <c r="J334" s="3">
        <v>106495.90662529301</v>
      </c>
      <c r="K334" s="3">
        <v>101640.905172339</v>
      </c>
      <c r="L334" s="3">
        <v>96785.903719385999</v>
      </c>
      <c r="M334" s="3">
        <v>86395.324603846908</v>
      </c>
      <c r="N334" s="3">
        <v>76004.745488307904</v>
      </c>
      <c r="O334" s="3">
        <v>67075.650580077199</v>
      </c>
      <c r="P334" s="3">
        <v>58146.555671846399</v>
      </c>
      <c r="Q334" s="3">
        <v>53705.032178709902</v>
      </c>
      <c r="R334" s="3">
        <v>49263.508685573499</v>
      </c>
      <c r="S334" s="3">
        <v>0</v>
      </c>
      <c r="U334">
        <v>104.20899570783899</v>
      </c>
    </row>
    <row r="335" spans="2:21" x14ac:dyDescent="0.3">
      <c r="B335" s="43"/>
      <c r="C335" s="77">
        <v>6.75</v>
      </c>
      <c r="D335" s="3">
        <v>104208.995707839</v>
      </c>
      <c r="E335" s="3">
        <v>115082.167806218</v>
      </c>
      <c r="F335" s="3">
        <v>125955.339904598</v>
      </c>
      <c r="G335" s="3">
        <v>121603.30896748</v>
      </c>
      <c r="H335" s="3">
        <v>117251.27803036199</v>
      </c>
      <c r="I335" s="3">
        <v>111873.59232782699</v>
      </c>
      <c r="J335" s="3">
        <v>106495.90662529301</v>
      </c>
      <c r="K335" s="3">
        <v>101640.905172339</v>
      </c>
      <c r="L335" s="3">
        <v>96785.903719385999</v>
      </c>
      <c r="M335" s="3">
        <v>86395.324603846908</v>
      </c>
      <c r="N335" s="3">
        <v>76004.745488307904</v>
      </c>
      <c r="O335" s="3">
        <v>67075.650580077199</v>
      </c>
      <c r="P335" s="3">
        <v>58146.555671846399</v>
      </c>
      <c r="Q335" s="3">
        <v>53705.032178709902</v>
      </c>
      <c r="R335" s="3">
        <v>49263.508685573499</v>
      </c>
      <c r="S335" s="3">
        <v>0</v>
      </c>
    </row>
    <row r="336" spans="2:21" x14ac:dyDescent="0.3">
      <c r="B336" s="43"/>
      <c r="C336" s="77">
        <v>7.25</v>
      </c>
      <c r="D336" s="3">
        <v>104208.995707839</v>
      </c>
      <c r="E336" s="3">
        <v>115082.167806218</v>
      </c>
      <c r="F336" s="3">
        <v>125955.339904598</v>
      </c>
      <c r="G336" s="3">
        <v>121603.30896748</v>
      </c>
      <c r="H336" s="3">
        <v>117251.27803036199</v>
      </c>
      <c r="I336" s="3">
        <v>111873.59232782699</v>
      </c>
      <c r="J336" s="3">
        <v>106495.90662529301</v>
      </c>
      <c r="K336" s="3">
        <v>101640.905172339</v>
      </c>
      <c r="L336" s="3">
        <v>96785.903719385999</v>
      </c>
      <c r="M336" s="3">
        <v>86395.324603846908</v>
      </c>
      <c r="N336" s="3">
        <v>76004.745488307904</v>
      </c>
      <c r="O336" s="3">
        <v>67075.650580077199</v>
      </c>
      <c r="P336" s="3">
        <v>58146.555671846399</v>
      </c>
      <c r="Q336" s="3">
        <v>53705.032178709902</v>
      </c>
      <c r="R336" s="3">
        <v>49263.508685573499</v>
      </c>
      <c r="S336" s="3">
        <v>0</v>
      </c>
    </row>
    <row r="337" spans="1:19" x14ac:dyDescent="0.3">
      <c r="B337" s="43"/>
      <c r="C337" s="77">
        <v>7.75</v>
      </c>
      <c r="D337" s="3">
        <v>104208.995707839</v>
      </c>
      <c r="E337" s="3">
        <v>115082.167806218</v>
      </c>
      <c r="F337" s="3">
        <v>125955.339904598</v>
      </c>
      <c r="G337" s="3">
        <v>121603.30896748</v>
      </c>
      <c r="H337" s="3">
        <v>117251.27803036199</v>
      </c>
      <c r="I337" s="3">
        <v>111873.59232782699</v>
      </c>
      <c r="J337" s="3">
        <v>106495.90662529301</v>
      </c>
      <c r="K337" s="3">
        <v>101640.905172339</v>
      </c>
      <c r="L337" s="3">
        <v>96785.903719385999</v>
      </c>
      <c r="M337" s="3">
        <v>86395.324603846908</v>
      </c>
      <c r="N337" s="3">
        <v>76004.745488307904</v>
      </c>
      <c r="O337" s="3">
        <v>67075.650580077199</v>
      </c>
      <c r="P337" s="3">
        <v>58146.555671846399</v>
      </c>
      <c r="Q337" s="3">
        <v>53705.032178709902</v>
      </c>
      <c r="R337" s="3">
        <v>49263.508685573499</v>
      </c>
      <c r="S337" s="3">
        <v>0</v>
      </c>
    </row>
    <row r="338" spans="1:19" x14ac:dyDescent="0.3">
      <c r="B338" s="43"/>
      <c r="C338" s="77">
        <v>8.25</v>
      </c>
      <c r="D338" s="3">
        <v>104208.995707839</v>
      </c>
      <c r="E338" s="3">
        <v>115082.167806218</v>
      </c>
      <c r="F338" s="3">
        <v>125955.339904598</v>
      </c>
      <c r="G338" s="3">
        <v>121603.30896748</v>
      </c>
      <c r="H338" s="3">
        <v>117251.27803036199</v>
      </c>
      <c r="I338" s="3">
        <v>111873.59232782699</v>
      </c>
      <c r="J338" s="3">
        <v>106495.90662529301</v>
      </c>
      <c r="K338" s="3">
        <v>101640.905172339</v>
      </c>
      <c r="L338" s="3">
        <v>96785.903719385999</v>
      </c>
      <c r="M338" s="3">
        <v>86395.324603846908</v>
      </c>
      <c r="N338" s="3">
        <v>76004.745488307904</v>
      </c>
      <c r="O338" s="3">
        <v>67075.650580077199</v>
      </c>
      <c r="P338" s="3">
        <v>58146.555671846399</v>
      </c>
      <c r="Q338" s="3">
        <v>53705.032178709902</v>
      </c>
      <c r="R338" s="3">
        <v>49263.508685573499</v>
      </c>
      <c r="S338" s="3">
        <v>0</v>
      </c>
    </row>
    <row r="339" spans="1:19" x14ac:dyDescent="0.3">
      <c r="B339" s="43"/>
      <c r="C339" s="77">
        <v>8.75</v>
      </c>
      <c r="D339" s="3">
        <v>104208.995707839</v>
      </c>
      <c r="E339" s="3">
        <v>115082.167806218</v>
      </c>
      <c r="F339" s="3">
        <v>125955.339904598</v>
      </c>
      <c r="G339" s="3">
        <v>121603.30896748</v>
      </c>
      <c r="H339" s="3">
        <v>117251.27803036199</v>
      </c>
      <c r="I339" s="3">
        <v>111873.59232782699</v>
      </c>
      <c r="J339" s="3">
        <v>106495.90662529301</v>
      </c>
      <c r="K339" s="3">
        <v>101640.905172339</v>
      </c>
      <c r="L339" s="3">
        <v>96785.903719385999</v>
      </c>
      <c r="M339" s="3">
        <v>86395.324603846908</v>
      </c>
      <c r="N339" s="3">
        <v>76004.745488307904</v>
      </c>
      <c r="O339" s="3">
        <v>67075.650580077199</v>
      </c>
      <c r="P339" s="3">
        <v>58146.555671846399</v>
      </c>
      <c r="Q339" s="3">
        <v>53705.032178709902</v>
      </c>
      <c r="R339" s="3">
        <v>49263.508685573499</v>
      </c>
      <c r="S339" s="3">
        <v>0</v>
      </c>
    </row>
    <row r="340" spans="1:19" x14ac:dyDescent="0.3">
      <c r="B340" s="43"/>
      <c r="C340" s="77">
        <v>9.25</v>
      </c>
      <c r="D340" s="3">
        <v>104208.995707839</v>
      </c>
      <c r="E340" s="3">
        <v>115082.167806218</v>
      </c>
      <c r="F340" s="3">
        <v>125955.339904598</v>
      </c>
      <c r="G340" s="3">
        <v>121603.30896748</v>
      </c>
      <c r="H340" s="3">
        <v>117251.27803036199</v>
      </c>
      <c r="I340" s="3">
        <v>111873.59232782699</v>
      </c>
      <c r="J340" s="3">
        <v>106495.90662529301</v>
      </c>
      <c r="K340" s="3">
        <v>101640.905172339</v>
      </c>
      <c r="L340" s="3">
        <v>96785.903719385999</v>
      </c>
      <c r="M340" s="3">
        <v>86395.324603846908</v>
      </c>
      <c r="N340" s="3">
        <v>76004.745488307904</v>
      </c>
      <c r="O340" s="3">
        <v>67075.650580077199</v>
      </c>
      <c r="P340" s="3">
        <v>58146.555671846399</v>
      </c>
      <c r="Q340" s="3">
        <v>53705.032178709902</v>
      </c>
      <c r="R340" s="3">
        <v>49263.508685573499</v>
      </c>
      <c r="S340" s="3">
        <v>0</v>
      </c>
    </row>
    <row r="341" spans="1:19" x14ac:dyDescent="0.3">
      <c r="B341" s="43"/>
      <c r="C341" s="77">
        <v>9.75</v>
      </c>
      <c r="D341" s="3">
        <v>104208.995707839</v>
      </c>
      <c r="E341" s="3">
        <v>115082.167806218</v>
      </c>
      <c r="F341" s="3">
        <v>125955.339904598</v>
      </c>
      <c r="G341" s="3">
        <v>121603.30896748</v>
      </c>
      <c r="H341" s="3">
        <v>117251.27803036199</v>
      </c>
      <c r="I341" s="3">
        <v>111873.59232782699</v>
      </c>
      <c r="J341" s="3">
        <v>106495.90662529301</v>
      </c>
      <c r="K341" s="3">
        <v>101640.905172339</v>
      </c>
      <c r="L341" s="3">
        <v>96785.903719385999</v>
      </c>
      <c r="M341" s="3">
        <v>86395.324603846908</v>
      </c>
      <c r="N341" s="3">
        <v>76004.745488307904</v>
      </c>
      <c r="O341" s="3">
        <v>67075.650580077199</v>
      </c>
      <c r="P341" s="3">
        <v>58146.555671846399</v>
      </c>
      <c r="Q341" s="3">
        <v>53705.032178709902</v>
      </c>
      <c r="R341" s="3">
        <v>49263.508685573499</v>
      </c>
      <c r="S341" s="3">
        <v>0</v>
      </c>
    </row>
    <row r="343" spans="1:19" x14ac:dyDescent="0.3">
      <c r="A343">
        <v>10</v>
      </c>
      <c r="B343" s="110"/>
    </row>
    <row r="344" spans="1:19" x14ac:dyDescent="0.3">
      <c r="A344" s="45" t="s">
        <v>89</v>
      </c>
      <c r="B344" s="43"/>
    </row>
    <row r="345" spans="1:19" x14ac:dyDescent="0.3">
      <c r="A345" s="43"/>
      <c r="B345" s="43" t="s">
        <v>91</v>
      </c>
      <c r="D345">
        <v>8</v>
      </c>
      <c r="E345" t="s">
        <v>4</v>
      </c>
    </row>
    <row r="346" spans="1:19" x14ac:dyDescent="0.3">
      <c r="A346" s="43"/>
      <c r="B346" s="43" t="s">
        <v>93</v>
      </c>
      <c r="D346">
        <v>2.9</v>
      </c>
      <c r="E346" t="s">
        <v>4</v>
      </c>
    </row>
    <row r="347" spans="1:19" x14ac:dyDescent="0.3">
      <c r="A347" s="43"/>
      <c r="B347" s="43" t="s">
        <v>124</v>
      </c>
      <c r="D347" s="6">
        <f>(D345/2)^2*PI()*D346</f>
        <v>145.7698991265664</v>
      </c>
      <c r="E347" t="s">
        <v>5</v>
      </c>
    </row>
    <row r="348" spans="1:19" x14ac:dyDescent="0.3">
      <c r="A348" s="43"/>
      <c r="B348" s="43" t="s">
        <v>12</v>
      </c>
      <c r="D348">
        <v>0</v>
      </c>
      <c r="E348" t="s">
        <v>125</v>
      </c>
    </row>
    <row r="349" spans="1:19" x14ac:dyDescent="0.3">
      <c r="A349" s="43"/>
      <c r="B349" s="43" t="s">
        <v>126</v>
      </c>
      <c r="D349">
        <v>0.1</v>
      </c>
    </row>
    <row r="350" spans="1:19" x14ac:dyDescent="0.3">
      <c r="B350" s="43" t="s">
        <v>127</v>
      </c>
      <c r="D350">
        <v>0.1</v>
      </c>
    </row>
    <row r="351" spans="1:19" x14ac:dyDescent="0.3">
      <c r="B351" s="43" t="s">
        <v>145</v>
      </c>
      <c r="D351">
        <v>1</v>
      </c>
    </row>
    <row r="353" spans="1:21" x14ac:dyDescent="0.3">
      <c r="A353" s="7" t="s">
        <v>18</v>
      </c>
    </row>
    <row r="354" spans="1:21" x14ac:dyDescent="0.3">
      <c r="B354" s="43"/>
      <c r="C354" s="43"/>
      <c r="D354" s="43" t="s">
        <v>117</v>
      </c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</row>
    <row r="355" spans="1:21" x14ac:dyDescent="0.3">
      <c r="B355" s="43"/>
      <c r="C355" s="75"/>
      <c r="D355" s="76">
        <v>4.5</v>
      </c>
      <c r="E355" s="76">
        <v>5.5</v>
      </c>
      <c r="F355" s="76">
        <v>6.5</v>
      </c>
      <c r="G355" s="76">
        <v>7.5</v>
      </c>
      <c r="H355" s="76">
        <v>8.5</v>
      </c>
      <c r="I355" s="76">
        <v>9.5</v>
      </c>
      <c r="J355" s="76">
        <v>10.5</v>
      </c>
      <c r="K355" s="76">
        <v>11.5</v>
      </c>
      <c r="L355" s="76">
        <v>12.5</v>
      </c>
      <c r="M355" s="76">
        <v>13.5</v>
      </c>
      <c r="N355" s="76">
        <v>14.5</v>
      </c>
      <c r="O355" s="76">
        <v>15.5</v>
      </c>
      <c r="P355" s="76">
        <v>16.5</v>
      </c>
      <c r="Q355" s="76">
        <v>17.5</v>
      </c>
      <c r="R355" s="76">
        <v>18.5</v>
      </c>
      <c r="S355" s="76">
        <v>19.5</v>
      </c>
    </row>
    <row r="356" spans="1:21" x14ac:dyDescent="0.3">
      <c r="B356" s="43" t="s">
        <v>118</v>
      </c>
      <c r="C356" s="77">
        <v>0.25</v>
      </c>
      <c r="D356" s="3">
        <v>328.462935432721</v>
      </c>
      <c r="E356" s="3">
        <v>339.77727250697399</v>
      </c>
      <c r="F356" s="3">
        <v>351.09160958122698</v>
      </c>
      <c r="G356" s="3">
        <v>357.70644640321296</v>
      </c>
      <c r="H356" s="3">
        <v>364.32128322519901</v>
      </c>
      <c r="I356" s="3">
        <v>358.93950810931102</v>
      </c>
      <c r="J356" s="3">
        <v>353.557732993424</v>
      </c>
      <c r="K356" s="3">
        <v>338.28150837474902</v>
      </c>
      <c r="L356" s="3">
        <v>323.00528375607502</v>
      </c>
      <c r="M356" s="3">
        <v>297.72537500476398</v>
      </c>
      <c r="N356" s="3">
        <v>272.44546625345401</v>
      </c>
      <c r="O356" s="3">
        <v>255.98970979515201</v>
      </c>
      <c r="P356" s="3">
        <v>239.53395333685103</v>
      </c>
      <c r="Q356" s="3">
        <v>209.88797889922401</v>
      </c>
      <c r="R356" s="3">
        <v>180.24200446159699</v>
      </c>
      <c r="S356" s="3">
        <v>0</v>
      </c>
      <c r="U356">
        <v>0.32846293543272098</v>
      </c>
    </row>
    <row r="357" spans="1:21" x14ac:dyDescent="0.3">
      <c r="B357" s="43"/>
      <c r="C357" s="77">
        <v>0.75</v>
      </c>
      <c r="D357" s="3">
        <v>3817.6278953476799</v>
      </c>
      <c r="E357" s="3">
        <v>4534.9061677647305</v>
      </c>
      <c r="F357" s="3">
        <v>5252.1844401817907</v>
      </c>
      <c r="G357" s="3">
        <v>5089.6588991195395</v>
      </c>
      <c r="H357" s="3">
        <v>4927.13335805729</v>
      </c>
      <c r="I357" s="3">
        <v>5059.49386114956</v>
      </c>
      <c r="J357" s="3">
        <v>5191.8543642418199</v>
      </c>
      <c r="K357" s="3">
        <v>4501.5753227263604</v>
      </c>
      <c r="L357" s="3">
        <v>3811.2962812108999</v>
      </c>
      <c r="M357" s="3">
        <v>3643.2008054564303</v>
      </c>
      <c r="N357" s="3">
        <v>3475.1053297019603</v>
      </c>
      <c r="O357" s="3">
        <v>2955.4687906038398</v>
      </c>
      <c r="P357" s="3">
        <v>2435.8322515057102</v>
      </c>
      <c r="Q357" s="3">
        <v>2220.08165603613</v>
      </c>
      <c r="R357" s="3">
        <v>2004.3310605665599</v>
      </c>
      <c r="S357" s="3">
        <v>0</v>
      </c>
      <c r="U357">
        <v>3.8176278953476799</v>
      </c>
    </row>
    <row r="358" spans="1:21" x14ac:dyDescent="0.3">
      <c r="B358" s="43"/>
      <c r="C358" s="77">
        <v>1.25</v>
      </c>
      <c r="D358" s="3">
        <v>7306.7928552626299</v>
      </c>
      <c r="E358" s="3">
        <v>8730.0350630224893</v>
      </c>
      <c r="F358" s="3">
        <v>10153.277270782401</v>
      </c>
      <c r="G358" s="3">
        <v>9821.6113518358688</v>
      </c>
      <c r="H358" s="3">
        <v>9489.9454328893898</v>
      </c>
      <c r="I358" s="3">
        <v>9760.0482141897992</v>
      </c>
      <c r="J358" s="3">
        <v>10030.150995490199</v>
      </c>
      <c r="K358" s="3">
        <v>8664.8691370779597</v>
      </c>
      <c r="L358" s="3">
        <v>7299.5872786657201</v>
      </c>
      <c r="M358" s="3">
        <v>6988.6762359081004</v>
      </c>
      <c r="N358" s="3">
        <v>6677.7651931504797</v>
      </c>
      <c r="O358" s="3">
        <v>5654.9478714125198</v>
      </c>
      <c r="P358" s="3">
        <v>4632.1305496745699</v>
      </c>
      <c r="Q358" s="3">
        <v>4230.2753331730501</v>
      </c>
      <c r="R358" s="3">
        <v>3828.4201166715197</v>
      </c>
      <c r="S358" s="3">
        <v>0</v>
      </c>
      <c r="U358">
        <v>7.3067928552626302</v>
      </c>
    </row>
    <row r="359" spans="1:21" x14ac:dyDescent="0.3">
      <c r="B359" s="43"/>
      <c r="C359" s="77">
        <v>1.75</v>
      </c>
      <c r="D359" s="3">
        <v>14993.147934434999</v>
      </c>
      <c r="E359" s="3">
        <v>17255.1549613565</v>
      </c>
      <c r="F359" s="3">
        <v>19517.161988277898</v>
      </c>
      <c r="G359" s="3">
        <v>19811.7755315207</v>
      </c>
      <c r="H359" s="3">
        <v>20106.389074763603</v>
      </c>
      <c r="I359" s="3">
        <v>20813.8157797282</v>
      </c>
      <c r="J359" s="3">
        <v>21521.242484692797</v>
      </c>
      <c r="K359" s="3">
        <v>20216.4424038098</v>
      </c>
      <c r="L359" s="3">
        <v>18911.642322926698</v>
      </c>
      <c r="M359" s="3">
        <v>17179.405767019402</v>
      </c>
      <c r="N359" s="3">
        <v>15447.169211111999</v>
      </c>
      <c r="O359" s="3">
        <v>13061.3121685434</v>
      </c>
      <c r="P359" s="3">
        <v>10675.4551259748</v>
      </c>
      <c r="Q359" s="3">
        <v>9814.5830272328694</v>
      </c>
      <c r="R359" s="3">
        <v>8953.7109284908802</v>
      </c>
      <c r="S359" s="3">
        <v>0</v>
      </c>
      <c r="U359">
        <v>14.993147934434999</v>
      </c>
    </row>
    <row r="360" spans="1:21" x14ac:dyDescent="0.3">
      <c r="B360" s="43"/>
      <c r="C360" s="77">
        <v>2.25</v>
      </c>
      <c r="D360" s="3">
        <v>22679.503013607398</v>
      </c>
      <c r="E360" s="3">
        <v>25780.2748596905</v>
      </c>
      <c r="F360" s="3">
        <v>28881.0467057735</v>
      </c>
      <c r="G360" s="3">
        <v>29801.939711205599</v>
      </c>
      <c r="H360" s="3">
        <v>30722.832716637702</v>
      </c>
      <c r="I360" s="3">
        <v>31867.583345266597</v>
      </c>
      <c r="J360" s="3">
        <v>33012.333973895402</v>
      </c>
      <c r="K360" s="3">
        <v>31768.015670541601</v>
      </c>
      <c r="L360" s="3">
        <v>30523.697367187702</v>
      </c>
      <c r="M360" s="3">
        <v>27370.135298130597</v>
      </c>
      <c r="N360" s="3">
        <v>24216.5732290735</v>
      </c>
      <c r="O360" s="3">
        <v>20467.676465674303</v>
      </c>
      <c r="P360" s="3">
        <v>16718.7797022751</v>
      </c>
      <c r="Q360" s="3">
        <v>15398.890721292701</v>
      </c>
      <c r="R360" s="3">
        <v>14079.001740310201</v>
      </c>
      <c r="S360" s="3">
        <v>0</v>
      </c>
      <c r="U360">
        <v>22.679503013607398</v>
      </c>
    </row>
    <row r="361" spans="1:21" x14ac:dyDescent="0.3">
      <c r="B361" s="43"/>
      <c r="C361" s="77">
        <v>2.75</v>
      </c>
      <c r="D361" s="3">
        <v>33400.568658286196</v>
      </c>
      <c r="E361" s="3">
        <v>39672.439405058103</v>
      </c>
      <c r="F361" s="3">
        <v>45944.310151830003</v>
      </c>
      <c r="G361" s="3">
        <v>47769.102331568705</v>
      </c>
      <c r="H361" s="3">
        <v>49593.894511307401</v>
      </c>
      <c r="I361" s="3">
        <v>48028.117378597104</v>
      </c>
      <c r="J361" s="3">
        <v>46462.340245886902</v>
      </c>
      <c r="K361" s="3">
        <v>43390.147455907601</v>
      </c>
      <c r="L361" s="3">
        <v>40317.954665928395</v>
      </c>
      <c r="M361" s="3">
        <v>38139.298073366197</v>
      </c>
      <c r="N361" s="3">
        <v>35960.641480803999</v>
      </c>
      <c r="O361" s="3">
        <v>31513.438845390203</v>
      </c>
      <c r="P361" s="3">
        <v>27066.236209976498</v>
      </c>
      <c r="Q361" s="3">
        <v>24258.661765280198</v>
      </c>
      <c r="R361" s="3">
        <v>21451.087320584</v>
      </c>
      <c r="S361" s="3">
        <v>0</v>
      </c>
      <c r="U361">
        <v>33.400568658286197</v>
      </c>
    </row>
    <row r="362" spans="1:21" x14ac:dyDescent="0.3">
      <c r="B362" s="43"/>
      <c r="C362" s="77">
        <v>3.25</v>
      </c>
      <c r="D362" s="3">
        <v>44121.6343029649</v>
      </c>
      <c r="E362" s="3">
        <v>53564.603950425801</v>
      </c>
      <c r="F362" s="3">
        <v>63007.5735978866</v>
      </c>
      <c r="G362" s="3">
        <v>65736.264951931807</v>
      </c>
      <c r="H362" s="3">
        <v>68464.956305977001</v>
      </c>
      <c r="I362" s="3">
        <v>64188.651411927691</v>
      </c>
      <c r="J362" s="3">
        <v>59912.346517878301</v>
      </c>
      <c r="K362" s="3">
        <v>55012.279241273704</v>
      </c>
      <c r="L362" s="3">
        <v>50112.211964669004</v>
      </c>
      <c r="M362" s="3">
        <v>48908.460848601797</v>
      </c>
      <c r="N362" s="3">
        <v>47704.709732534502</v>
      </c>
      <c r="O362" s="3">
        <v>42559.201225106197</v>
      </c>
      <c r="P362" s="3">
        <v>37413.692717677797</v>
      </c>
      <c r="Q362" s="3">
        <v>33118.432809267804</v>
      </c>
      <c r="R362" s="3">
        <v>28823.172900857797</v>
      </c>
      <c r="S362" s="3">
        <v>0</v>
      </c>
      <c r="U362">
        <v>44.1216343029649</v>
      </c>
    </row>
    <row r="363" spans="1:21" x14ac:dyDescent="0.3">
      <c r="B363" s="43"/>
      <c r="C363" s="77">
        <v>3.75</v>
      </c>
      <c r="D363" s="3">
        <v>69685.499890978608</v>
      </c>
      <c r="E363" s="3">
        <v>78129.051583274995</v>
      </c>
      <c r="F363" s="3">
        <v>86572.603275571397</v>
      </c>
      <c r="G363" s="3">
        <v>90419.337389983892</v>
      </c>
      <c r="H363" s="3">
        <v>94266.071504396386</v>
      </c>
      <c r="I363" s="3">
        <v>89166.315891279301</v>
      </c>
      <c r="J363" s="3">
        <v>84066.560278162302</v>
      </c>
      <c r="K363" s="3">
        <v>79503.950046712809</v>
      </c>
      <c r="L363" s="3">
        <v>74941.339815263302</v>
      </c>
      <c r="M363" s="3">
        <v>71083.0325549837</v>
      </c>
      <c r="N363" s="3">
        <v>67224.725294703996</v>
      </c>
      <c r="O363" s="3">
        <v>63124.145022506396</v>
      </c>
      <c r="P363" s="3">
        <v>59023.564750308899</v>
      </c>
      <c r="Q363" s="3">
        <v>48389.286730621701</v>
      </c>
      <c r="R363" s="3">
        <v>37755.008710934497</v>
      </c>
      <c r="S363" s="3">
        <v>0</v>
      </c>
      <c r="U363">
        <v>69.685499890978605</v>
      </c>
    </row>
    <row r="364" spans="1:21" x14ac:dyDescent="0.3">
      <c r="B364" s="43"/>
      <c r="C364" s="77">
        <v>4.25</v>
      </c>
      <c r="D364" s="3">
        <v>95249.365478992302</v>
      </c>
      <c r="E364" s="3">
        <v>102693.49921612399</v>
      </c>
      <c r="F364" s="3">
        <v>110137.632953256</v>
      </c>
      <c r="G364" s="3">
        <v>115102.409828036</v>
      </c>
      <c r="H364" s="3">
        <v>120067.186702816</v>
      </c>
      <c r="I364" s="3">
        <v>114143.980370631</v>
      </c>
      <c r="J364" s="3">
        <v>108220.77403844599</v>
      </c>
      <c r="K364" s="3">
        <v>103995.620852152</v>
      </c>
      <c r="L364" s="3">
        <v>99770.467665857592</v>
      </c>
      <c r="M364" s="3">
        <v>93257.604261365501</v>
      </c>
      <c r="N364" s="3">
        <v>86744.740856873512</v>
      </c>
      <c r="O364" s="3">
        <v>83689.088819906698</v>
      </c>
      <c r="P364" s="3">
        <v>80633.43678294</v>
      </c>
      <c r="Q364" s="3">
        <v>63660.140651975606</v>
      </c>
      <c r="R364" s="3">
        <v>46686.844521011306</v>
      </c>
      <c r="S364" s="3">
        <v>0</v>
      </c>
      <c r="U364">
        <v>95.249365478992303</v>
      </c>
    </row>
    <row r="365" spans="1:21" x14ac:dyDescent="0.3">
      <c r="B365" s="43"/>
      <c r="C365" s="77">
        <v>4.75</v>
      </c>
      <c r="D365" s="3">
        <v>107575.06083917699</v>
      </c>
      <c r="E365" s="3">
        <v>120751.144114411</v>
      </c>
      <c r="F365" s="3">
        <v>133927.22738964402</v>
      </c>
      <c r="G365" s="3">
        <v>137897.56252268699</v>
      </c>
      <c r="H365" s="3">
        <v>141867.89765572999</v>
      </c>
      <c r="I365" s="3">
        <v>134423.30996430901</v>
      </c>
      <c r="J365" s="3">
        <v>126978.722272888</v>
      </c>
      <c r="K365" s="3">
        <v>128923.15120595299</v>
      </c>
      <c r="L365" s="3">
        <v>130867.58013901701</v>
      </c>
      <c r="M365" s="3">
        <v>115741.78652873999</v>
      </c>
      <c r="N365" s="3">
        <v>100615.992918462</v>
      </c>
      <c r="O365" s="3">
        <v>92366.044978926002</v>
      </c>
      <c r="P365" s="3">
        <v>84116.097039389599</v>
      </c>
      <c r="Q365" s="3">
        <v>73529.649519184401</v>
      </c>
      <c r="R365" s="3">
        <v>62943.201998979297</v>
      </c>
      <c r="S365" s="3">
        <v>0</v>
      </c>
      <c r="U365">
        <v>107.575060839177</v>
      </c>
    </row>
    <row r="366" spans="1:21" x14ac:dyDescent="0.3">
      <c r="B366" s="43"/>
      <c r="C366" s="77">
        <v>5.25</v>
      </c>
      <c r="D366" s="3">
        <v>119900.756199361</v>
      </c>
      <c r="E366" s="3">
        <v>138808.789012697</v>
      </c>
      <c r="F366" s="3">
        <v>157716.821826033</v>
      </c>
      <c r="G366" s="3">
        <v>160692.71521733902</v>
      </c>
      <c r="H366" s="3">
        <v>163668.60860864501</v>
      </c>
      <c r="I366" s="3">
        <v>154702.639557988</v>
      </c>
      <c r="J366" s="3">
        <v>145736.670507331</v>
      </c>
      <c r="K366" s="3">
        <v>153850.68155975401</v>
      </c>
      <c r="L366" s="3">
        <v>161964.69261217699</v>
      </c>
      <c r="M366" s="3">
        <v>138225.968796114</v>
      </c>
      <c r="N366" s="3">
        <v>114487.24498005101</v>
      </c>
      <c r="O366" s="3">
        <v>101043.001137945</v>
      </c>
      <c r="P366" s="3">
        <v>87598.75729583911</v>
      </c>
      <c r="Q366" s="3">
        <v>83399.158386393203</v>
      </c>
      <c r="R366" s="3">
        <v>79199.559476947194</v>
      </c>
      <c r="S366" s="3">
        <v>0</v>
      </c>
      <c r="U366">
        <v>119.900756199361</v>
      </c>
    </row>
    <row r="367" spans="1:21" x14ac:dyDescent="0.3">
      <c r="B367" s="43"/>
      <c r="C367" s="77">
        <v>5.75</v>
      </c>
      <c r="D367" s="3">
        <v>142426.88500943701</v>
      </c>
      <c r="E367" s="3">
        <v>166007.043374584</v>
      </c>
      <c r="F367" s="3">
        <v>189587.20173973101</v>
      </c>
      <c r="G367" s="3">
        <v>193291.54516091</v>
      </c>
      <c r="H367" s="3">
        <v>196995.88858208802</v>
      </c>
      <c r="I367" s="3">
        <v>193448.79645078199</v>
      </c>
      <c r="J367" s="3">
        <v>189901.704319476</v>
      </c>
      <c r="K367" s="3">
        <v>201838.202829241</v>
      </c>
      <c r="L367" s="3">
        <v>213774.70133900701</v>
      </c>
      <c r="M367" s="3">
        <v>176690.747352823</v>
      </c>
      <c r="N367" s="3">
        <v>139606.793366639</v>
      </c>
      <c r="O367" s="3">
        <v>134458.20393564799</v>
      </c>
      <c r="P367" s="3">
        <v>129309.614504656</v>
      </c>
      <c r="Q367" s="3">
        <v>108094.896370139</v>
      </c>
      <c r="R367" s="3">
        <v>86880.178235621395</v>
      </c>
      <c r="S367" s="3">
        <v>0</v>
      </c>
      <c r="U367">
        <v>142.426885009437</v>
      </c>
    </row>
    <row r="368" spans="1:21" x14ac:dyDescent="0.3">
      <c r="B368" s="43"/>
      <c r="C368" s="77">
        <v>6.25</v>
      </c>
      <c r="D368" s="3">
        <v>164953.013819513</v>
      </c>
      <c r="E368" s="3">
        <v>193205.29773647102</v>
      </c>
      <c r="F368" s="3">
        <v>221457.58165343001</v>
      </c>
      <c r="G368" s="3">
        <v>225890.37510448101</v>
      </c>
      <c r="H368" s="3">
        <v>230323.168555532</v>
      </c>
      <c r="I368" s="3">
        <v>232194.95334357599</v>
      </c>
      <c r="J368" s="3">
        <v>234066.73813162101</v>
      </c>
      <c r="K368" s="3">
        <v>249825.72409872798</v>
      </c>
      <c r="L368" s="3">
        <v>265584.71006583603</v>
      </c>
      <c r="M368" s="3">
        <v>215155.52590953201</v>
      </c>
      <c r="N368" s="3">
        <v>164726.341753227</v>
      </c>
      <c r="O368" s="3">
        <v>167873.40673335001</v>
      </c>
      <c r="P368" s="3">
        <v>171020.471713473</v>
      </c>
      <c r="Q368" s="3">
        <v>132790.634353884</v>
      </c>
      <c r="R368" s="3">
        <v>94560.796994295495</v>
      </c>
      <c r="S368" s="3">
        <v>0</v>
      </c>
      <c r="U368">
        <v>164.95301381951299</v>
      </c>
    </row>
    <row r="369" spans="1:19" x14ac:dyDescent="0.3">
      <c r="B369" s="43"/>
      <c r="C369" s="77">
        <v>6.75</v>
      </c>
      <c r="D369" s="3">
        <v>164953.013819513</v>
      </c>
      <c r="E369" s="3">
        <v>193205.29773647102</v>
      </c>
      <c r="F369" s="3">
        <v>221457.58165343001</v>
      </c>
      <c r="G369" s="3">
        <v>225890.37510448101</v>
      </c>
      <c r="H369" s="3">
        <v>230323.168555532</v>
      </c>
      <c r="I369" s="3">
        <v>232194.95334357599</v>
      </c>
      <c r="J369" s="3">
        <v>234066.73813162101</v>
      </c>
      <c r="K369" s="3">
        <v>249825.72409872798</v>
      </c>
      <c r="L369" s="3">
        <v>265584.71006583603</v>
      </c>
      <c r="M369" s="3">
        <v>215155.52590953201</v>
      </c>
      <c r="N369" s="3">
        <v>164726.341753227</v>
      </c>
      <c r="O369" s="3">
        <v>167873.40673335001</v>
      </c>
      <c r="P369" s="3">
        <v>171020.471713473</v>
      </c>
      <c r="Q369" s="3">
        <v>132790.634353884</v>
      </c>
      <c r="R369" s="3">
        <v>94560.796994295495</v>
      </c>
      <c r="S369" s="3">
        <v>0</v>
      </c>
    </row>
    <row r="370" spans="1:19" x14ac:dyDescent="0.3">
      <c r="B370" s="43"/>
      <c r="C370" s="77">
        <v>7.25</v>
      </c>
      <c r="D370" s="3">
        <v>164953.013819513</v>
      </c>
      <c r="E370" s="3">
        <v>193205.29773647102</v>
      </c>
      <c r="F370" s="3">
        <v>221457.58165343001</v>
      </c>
      <c r="G370" s="3">
        <v>225890.37510448101</v>
      </c>
      <c r="H370" s="3">
        <v>230323.168555532</v>
      </c>
      <c r="I370" s="3">
        <v>232194.95334357599</v>
      </c>
      <c r="J370" s="3">
        <v>234066.73813162101</v>
      </c>
      <c r="K370" s="3">
        <v>249825.72409872798</v>
      </c>
      <c r="L370" s="3">
        <v>265584.71006583603</v>
      </c>
      <c r="M370" s="3">
        <v>215155.52590953201</v>
      </c>
      <c r="N370" s="3">
        <v>164726.341753227</v>
      </c>
      <c r="O370" s="3">
        <v>167873.40673335001</v>
      </c>
      <c r="P370" s="3">
        <v>171020.471713473</v>
      </c>
      <c r="Q370" s="3">
        <v>132790.634353884</v>
      </c>
      <c r="R370" s="3">
        <v>94560.796994295495</v>
      </c>
      <c r="S370" s="3">
        <v>0</v>
      </c>
    </row>
    <row r="371" spans="1:19" x14ac:dyDescent="0.3">
      <c r="B371" s="43"/>
      <c r="C371" s="77">
        <v>7.75</v>
      </c>
      <c r="D371" s="3">
        <v>164953.013819513</v>
      </c>
      <c r="E371" s="3">
        <v>193205.29773647102</v>
      </c>
      <c r="F371" s="3">
        <v>221457.58165343001</v>
      </c>
      <c r="G371" s="3">
        <v>225890.37510448101</v>
      </c>
      <c r="H371" s="3">
        <v>230323.168555532</v>
      </c>
      <c r="I371" s="3">
        <v>232194.95334357599</v>
      </c>
      <c r="J371" s="3">
        <v>234066.73813162101</v>
      </c>
      <c r="K371" s="3">
        <v>249825.72409872798</v>
      </c>
      <c r="L371" s="3">
        <v>265584.71006583603</v>
      </c>
      <c r="M371" s="3">
        <v>215155.52590953201</v>
      </c>
      <c r="N371" s="3">
        <v>164726.341753227</v>
      </c>
      <c r="O371" s="3">
        <v>167873.40673335001</v>
      </c>
      <c r="P371" s="3">
        <v>171020.471713473</v>
      </c>
      <c r="Q371" s="3">
        <v>132790.634353884</v>
      </c>
      <c r="R371" s="3">
        <v>94560.796994295495</v>
      </c>
      <c r="S371" s="3">
        <v>0</v>
      </c>
    </row>
    <row r="372" spans="1:19" x14ac:dyDescent="0.3">
      <c r="B372" s="43"/>
      <c r="C372" s="77">
        <v>8.25</v>
      </c>
      <c r="D372" s="3">
        <v>164953.013819513</v>
      </c>
      <c r="E372" s="3">
        <v>193205.29773647102</v>
      </c>
      <c r="F372" s="3">
        <v>221457.58165343001</v>
      </c>
      <c r="G372" s="3">
        <v>225890.37510448101</v>
      </c>
      <c r="H372" s="3">
        <v>230323.168555532</v>
      </c>
      <c r="I372" s="3">
        <v>232194.95334357599</v>
      </c>
      <c r="J372" s="3">
        <v>234066.73813162101</v>
      </c>
      <c r="K372" s="3">
        <v>249825.72409872798</v>
      </c>
      <c r="L372" s="3">
        <v>265584.71006583603</v>
      </c>
      <c r="M372" s="3">
        <v>215155.52590953201</v>
      </c>
      <c r="N372" s="3">
        <v>164726.341753227</v>
      </c>
      <c r="O372" s="3">
        <v>167873.40673335001</v>
      </c>
      <c r="P372" s="3">
        <v>171020.471713473</v>
      </c>
      <c r="Q372" s="3">
        <v>132790.634353884</v>
      </c>
      <c r="R372" s="3">
        <v>94560.796994295495</v>
      </c>
      <c r="S372" s="3">
        <v>0</v>
      </c>
    </row>
    <row r="373" spans="1:19" x14ac:dyDescent="0.3">
      <c r="B373" s="43"/>
      <c r="C373" s="77">
        <v>8.75</v>
      </c>
      <c r="D373" s="3">
        <v>164953.013819513</v>
      </c>
      <c r="E373" s="3">
        <v>193205.29773647102</v>
      </c>
      <c r="F373" s="3">
        <v>221457.58165343001</v>
      </c>
      <c r="G373" s="3">
        <v>225890.37510448101</v>
      </c>
      <c r="H373" s="3">
        <v>230323.168555532</v>
      </c>
      <c r="I373" s="3">
        <v>232194.95334357599</v>
      </c>
      <c r="J373" s="3">
        <v>234066.73813162101</v>
      </c>
      <c r="K373" s="3">
        <v>249825.72409872798</v>
      </c>
      <c r="L373" s="3">
        <v>265584.71006583603</v>
      </c>
      <c r="M373" s="3">
        <v>215155.52590953201</v>
      </c>
      <c r="N373" s="3">
        <v>164726.341753227</v>
      </c>
      <c r="O373" s="3">
        <v>167873.40673335001</v>
      </c>
      <c r="P373" s="3">
        <v>171020.471713473</v>
      </c>
      <c r="Q373" s="3">
        <v>132790.634353884</v>
      </c>
      <c r="R373" s="3">
        <v>94560.796994295495</v>
      </c>
      <c r="S373" s="3">
        <v>0</v>
      </c>
    </row>
    <row r="374" spans="1:19" x14ac:dyDescent="0.3">
      <c r="B374" s="43"/>
      <c r="C374" s="77">
        <v>9.25</v>
      </c>
      <c r="D374" s="3">
        <v>164953.013819513</v>
      </c>
      <c r="E374" s="3">
        <v>193205.29773647102</v>
      </c>
      <c r="F374" s="3">
        <v>221457.58165343001</v>
      </c>
      <c r="G374" s="3">
        <v>225890.37510448101</v>
      </c>
      <c r="H374" s="3">
        <v>230323.168555532</v>
      </c>
      <c r="I374" s="3">
        <v>232194.95334357599</v>
      </c>
      <c r="J374" s="3">
        <v>234066.73813162101</v>
      </c>
      <c r="K374" s="3">
        <v>249825.72409872798</v>
      </c>
      <c r="L374" s="3">
        <v>265584.71006583603</v>
      </c>
      <c r="M374" s="3">
        <v>215155.52590953201</v>
      </c>
      <c r="N374" s="3">
        <v>164726.341753227</v>
      </c>
      <c r="O374" s="3">
        <v>167873.40673335001</v>
      </c>
      <c r="P374" s="3">
        <v>171020.471713473</v>
      </c>
      <c r="Q374" s="3">
        <v>132790.634353884</v>
      </c>
      <c r="R374" s="3">
        <v>94560.796994295495</v>
      </c>
      <c r="S374" s="3">
        <v>0</v>
      </c>
    </row>
    <row r="375" spans="1:19" x14ac:dyDescent="0.3">
      <c r="B375" s="43"/>
      <c r="C375" s="77">
        <v>9.75</v>
      </c>
      <c r="D375" s="3">
        <v>164953.013819513</v>
      </c>
      <c r="E375" s="3">
        <v>193205.29773647102</v>
      </c>
      <c r="F375" s="3">
        <v>221457.58165343001</v>
      </c>
      <c r="G375" s="3">
        <v>225890.37510448101</v>
      </c>
      <c r="H375" s="3">
        <v>230323.168555532</v>
      </c>
      <c r="I375" s="3">
        <v>232194.95334357599</v>
      </c>
      <c r="J375" s="3">
        <v>234066.73813162101</v>
      </c>
      <c r="K375" s="3">
        <v>249825.72409872798</v>
      </c>
      <c r="L375" s="3">
        <v>265584.71006583603</v>
      </c>
      <c r="M375" s="3">
        <v>215155.52590953201</v>
      </c>
      <c r="N375" s="3">
        <v>164726.341753227</v>
      </c>
      <c r="O375" s="3">
        <v>167873.40673335001</v>
      </c>
      <c r="P375" s="3">
        <v>171020.471713473</v>
      </c>
      <c r="Q375" s="3">
        <v>132790.634353884</v>
      </c>
      <c r="R375" s="3">
        <v>94560.796994295495</v>
      </c>
      <c r="S375" s="3">
        <v>0</v>
      </c>
    </row>
    <row r="377" spans="1:19" x14ac:dyDescent="0.3">
      <c r="A377">
        <v>11</v>
      </c>
      <c r="B377" s="110"/>
    </row>
    <row r="378" spans="1:19" x14ac:dyDescent="0.3">
      <c r="A378" s="45" t="s">
        <v>89</v>
      </c>
      <c r="B378" s="43"/>
    </row>
    <row r="379" spans="1:19" x14ac:dyDescent="0.3">
      <c r="A379" s="43"/>
      <c r="B379" s="43" t="s">
        <v>91</v>
      </c>
      <c r="D379">
        <v>11</v>
      </c>
      <c r="E379" t="s">
        <v>4</v>
      </c>
    </row>
    <row r="380" spans="1:19" x14ac:dyDescent="0.3">
      <c r="A380" s="43"/>
      <c r="B380" s="43" t="s">
        <v>93</v>
      </c>
      <c r="D380">
        <v>3.3</v>
      </c>
      <c r="E380" t="s">
        <v>4</v>
      </c>
    </row>
    <row r="381" spans="1:19" x14ac:dyDescent="0.3">
      <c r="A381" s="43"/>
      <c r="B381" s="43" t="s">
        <v>124</v>
      </c>
      <c r="D381" s="6">
        <f>(D379/2)^2*PI()*D380</f>
        <v>313.60948664460108</v>
      </c>
      <c r="E381" t="s">
        <v>5</v>
      </c>
    </row>
    <row r="382" spans="1:19" x14ac:dyDescent="0.3">
      <c r="A382" s="43"/>
      <c r="B382" s="43" t="s">
        <v>12</v>
      </c>
      <c r="D382">
        <v>0</v>
      </c>
      <c r="E382" t="s">
        <v>125</v>
      </c>
    </row>
    <row r="383" spans="1:19" x14ac:dyDescent="0.3">
      <c r="A383" s="43"/>
      <c r="B383" s="43" t="s">
        <v>126</v>
      </c>
      <c r="D383">
        <v>0.1</v>
      </c>
    </row>
    <row r="384" spans="1:19" x14ac:dyDescent="0.3">
      <c r="B384" s="43" t="s">
        <v>127</v>
      </c>
      <c r="D384">
        <v>0.1</v>
      </c>
    </row>
    <row r="385" spans="1:21" x14ac:dyDescent="0.3">
      <c r="B385" s="43" t="s">
        <v>145</v>
      </c>
      <c r="D385">
        <v>1</v>
      </c>
    </row>
    <row r="387" spans="1:21" x14ac:dyDescent="0.3">
      <c r="A387" s="7" t="s">
        <v>18</v>
      </c>
    </row>
    <row r="388" spans="1:21" x14ac:dyDescent="0.3">
      <c r="B388" s="43"/>
      <c r="C388" s="43"/>
      <c r="D388" s="43" t="s">
        <v>117</v>
      </c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</row>
    <row r="389" spans="1:21" x14ac:dyDescent="0.3">
      <c r="B389" s="43"/>
      <c r="C389" s="75"/>
      <c r="D389" s="76">
        <v>4.5</v>
      </c>
      <c r="E389" s="76">
        <v>5.5</v>
      </c>
      <c r="F389" s="76">
        <v>6.5</v>
      </c>
      <c r="G389" s="76">
        <v>7.5</v>
      </c>
      <c r="H389" s="76">
        <v>8.5</v>
      </c>
      <c r="I389" s="76">
        <v>9.5</v>
      </c>
      <c r="J389" s="76">
        <v>10.5</v>
      </c>
      <c r="K389" s="76">
        <v>11.5</v>
      </c>
      <c r="L389" s="76">
        <v>12.5</v>
      </c>
      <c r="M389" s="76">
        <v>13.5</v>
      </c>
      <c r="N389" s="76">
        <v>14.5</v>
      </c>
      <c r="O389" s="76">
        <v>15.5</v>
      </c>
      <c r="P389" s="76">
        <v>16.5</v>
      </c>
      <c r="Q389" s="76">
        <v>17.5</v>
      </c>
      <c r="R389" s="76">
        <v>18.5</v>
      </c>
      <c r="S389" s="76">
        <v>19.5</v>
      </c>
    </row>
    <row r="390" spans="1:21" x14ac:dyDescent="0.3">
      <c r="B390" s="43" t="s">
        <v>118</v>
      </c>
      <c r="C390" s="77">
        <v>0.25</v>
      </c>
      <c r="D390" s="3">
        <v>358.05099652815096</v>
      </c>
      <c r="E390" s="3">
        <v>481.10514063447403</v>
      </c>
      <c r="F390" s="3">
        <v>604.15928474079806</v>
      </c>
      <c r="G390" s="3">
        <v>630.68311057486108</v>
      </c>
      <c r="H390" s="3">
        <v>657.206936408925</v>
      </c>
      <c r="I390" s="3">
        <v>628.50910352049709</v>
      </c>
      <c r="J390" s="3">
        <v>599.81127063206793</v>
      </c>
      <c r="K390" s="3">
        <v>602.78142820352195</v>
      </c>
      <c r="L390" s="3">
        <v>605.75158577497598</v>
      </c>
      <c r="M390" s="3">
        <v>571.70830752130303</v>
      </c>
      <c r="N390" s="3">
        <v>537.66502926762905</v>
      </c>
      <c r="O390" s="3">
        <v>490.95339586724901</v>
      </c>
      <c r="P390" s="3">
        <v>444.24176246686898</v>
      </c>
      <c r="Q390" s="3">
        <v>408.013596253652</v>
      </c>
      <c r="R390" s="3">
        <v>371.78543004043604</v>
      </c>
      <c r="S390" s="3">
        <v>0</v>
      </c>
      <c r="U390">
        <v>0.35805099652815098</v>
      </c>
    </row>
    <row r="391" spans="1:21" x14ac:dyDescent="0.3">
      <c r="B391" s="43"/>
      <c r="C391" s="77">
        <v>0.75</v>
      </c>
      <c r="D391" s="3">
        <v>5660.9649862831602</v>
      </c>
      <c r="E391" s="3">
        <v>6756.4387812790001</v>
      </c>
      <c r="F391" s="3">
        <v>7851.9125762748499</v>
      </c>
      <c r="G391" s="3">
        <v>8205.6637642147489</v>
      </c>
      <c r="H391" s="3">
        <v>8559.4149521546587</v>
      </c>
      <c r="I391" s="3">
        <v>8579.3383063637393</v>
      </c>
      <c r="J391" s="3">
        <v>8599.2616605728199</v>
      </c>
      <c r="K391" s="3">
        <v>8359.2931367564797</v>
      </c>
      <c r="L391" s="3">
        <v>8119.3246129401296</v>
      </c>
      <c r="M391" s="3">
        <v>7684.4194592487793</v>
      </c>
      <c r="N391" s="3">
        <v>7249.5143055574299</v>
      </c>
      <c r="O391" s="3">
        <v>6416.8717176617201</v>
      </c>
      <c r="P391" s="3">
        <v>5584.2291297660104</v>
      </c>
      <c r="Q391" s="3">
        <v>4835.0828903961001</v>
      </c>
      <c r="R391" s="3">
        <v>4085.9366510261798</v>
      </c>
      <c r="S391" s="3">
        <v>0</v>
      </c>
      <c r="U391">
        <v>5.6609649862831599</v>
      </c>
    </row>
    <row r="392" spans="1:21" x14ac:dyDescent="0.3">
      <c r="B392" s="43"/>
      <c r="C392" s="77">
        <v>1.25</v>
      </c>
      <c r="D392" s="3">
        <v>10963.878976038201</v>
      </c>
      <c r="E392" s="3">
        <v>13031.772421923501</v>
      </c>
      <c r="F392" s="3">
        <v>15099.665867808901</v>
      </c>
      <c r="G392" s="3">
        <v>15780.644417854599</v>
      </c>
      <c r="H392" s="3">
        <v>16461.622967900399</v>
      </c>
      <c r="I392" s="3">
        <v>16530.167509207</v>
      </c>
      <c r="J392" s="3">
        <v>16598.712050513601</v>
      </c>
      <c r="K392" s="3">
        <v>16115.804845309398</v>
      </c>
      <c r="L392" s="3">
        <v>15632.897640105301</v>
      </c>
      <c r="M392" s="3">
        <v>14797.130610976299</v>
      </c>
      <c r="N392" s="3">
        <v>13961.363581847199</v>
      </c>
      <c r="O392" s="3">
        <v>12342.790039456198</v>
      </c>
      <c r="P392" s="3">
        <v>10724.216497065199</v>
      </c>
      <c r="Q392" s="3">
        <v>9262.1521845385396</v>
      </c>
      <c r="R392" s="3">
        <v>7800.0878720119299</v>
      </c>
      <c r="S392" s="3">
        <v>0</v>
      </c>
      <c r="U392">
        <v>10.963878976038201</v>
      </c>
    </row>
    <row r="393" spans="1:21" x14ac:dyDescent="0.3">
      <c r="B393" s="43"/>
      <c r="C393" s="77">
        <v>1.75</v>
      </c>
      <c r="D393" s="3">
        <v>21814.064305467698</v>
      </c>
      <c r="E393" s="3">
        <v>26770.610747001603</v>
      </c>
      <c r="F393" s="3">
        <v>31727.157188535501</v>
      </c>
      <c r="G393" s="3">
        <v>33389.877372544295</v>
      </c>
      <c r="H393" s="3">
        <v>35052.597556553003</v>
      </c>
      <c r="I393" s="3">
        <v>35051.493042639995</v>
      </c>
      <c r="J393" s="3">
        <v>35050.3885287269</v>
      </c>
      <c r="K393" s="3">
        <v>31675.890052462801</v>
      </c>
      <c r="L393" s="3">
        <v>28301.391576198599</v>
      </c>
      <c r="M393" s="3">
        <v>28231.179153598099</v>
      </c>
      <c r="N393" s="3">
        <v>28160.966730997701</v>
      </c>
      <c r="O393" s="3">
        <v>23275.126162422799</v>
      </c>
      <c r="P393" s="3">
        <v>18389.285593848002</v>
      </c>
      <c r="Q393" s="3">
        <v>18467.098860891198</v>
      </c>
      <c r="R393" s="3">
        <v>18544.9121279344</v>
      </c>
      <c r="S393" s="3">
        <v>0</v>
      </c>
      <c r="U393">
        <v>21.814064305467699</v>
      </c>
    </row>
    <row r="394" spans="1:21" x14ac:dyDescent="0.3">
      <c r="B394" s="43"/>
      <c r="C394" s="77">
        <v>2.25</v>
      </c>
      <c r="D394" s="3">
        <v>32664.249634897202</v>
      </c>
      <c r="E394" s="3">
        <v>40509.449072079697</v>
      </c>
      <c r="F394" s="3">
        <v>48354.648509262101</v>
      </c>
      <c r="G394" s="3">
        <v>50999.110327233902</v>
      </c>
      <c r="H394" s="3">
        <v>53643.572145205602</v>
      </c>
      <c r="I394" s="3">
        <v>53572.818576072998</v>
      </c>
      <c r="J394" s="3">
        <v>53502.065006940298</v>
      </c>
      <c r="K394" s="3">
        <v>47235.975259616098</v>
      </c>
      <c r="L394" s="3">
        <v>40969.885512291999</v>
      </c>
      <c r="M394" s="3">
        <v>41665.227696219998</v>
      </c>
      <c r="N394" s="3">
        <v>42360.569880148098</v>
      </c>
      <c r="O394" s="3">
        <v>34207.462285389498</v>
      </c>
      <c r="P394" s="3">
        <v>26054.354690630898</v>
      </c>
      <c r="Q394" s="3">
        <v>27672.045537243899</v>
      </c>
      <c r="R394" s="3">
        <v>29289.736383857002</v>
      </c>
      <c r="S394" s="3">
        <v>0</v>
      </c>
      <c r="U394">
        <v>32.664249634897203</v>
      </c>
    </row>
    <row r="395" spans="1:21" x14ac:dyDescent="0.3">
      <c r="B395" s="43"/>
      <c r="C395" s="77">
        <v>2.75</v>
      </c>
      <c r="D395" s="3">
        <v>49240.3737661177</v>
      </c>
      <c r="E395" s="3">
        <v>62262.173129356801</v>
      </c>
      <c r="F395" s="3">
        <v>75283.972492595887</v>
      </c>
      <c r="G395" s="3">
        <v>73970.340777819903</v>
      </c>
      <c r="H395" s="3">
        <v>72656.709063044007</v>
      </c>
      <c r="I395" s="3">
        <v>75011.460775565691</v>
      </c>
      <c r="J395" s="3">
        <v>77366.212488087505</v>
      </c>
      <c r="K395" s="3">
        <v>74232.984702724396</v>
      </c>
      <c r="L395" s="3">
        <v>71099.756917361199</v>
      </c>
      <c r="M395" s="3">
        <v>65001.125725955804</v>
      </c>
      <c r="N395" s="3">
        <v>58902.4945345503</v>
      </c>
      <c r="O395" s="3">
        <v>51322.6708239988</v>
      </c>
      <c r="P395" s="3">
        <v>43742.8471134473</v>
      </c>
      <c r="Q395" s="3">
        <v>40289.464164272096</v>
      </c>
      <c r="R395" s="3">
        <v>36836.0812150969</v>
      </c>
      <c r="S395" s="3">
        <v>0</v>
      </c>
      <c r="U395">
        <v>49.240373766117699</v>
      </c>
    </row>
    <row r="396" spans="1:21" x14ac:dyDescent="0.3">
      <c r="B396" s="43"/>
      <c r="C396" s="77">
        <v>3.25</v>
      </c>
      <c r="D396" s="3">
        <v>65816.497897338093</v>
      </c>
      <c r="E396" s="3">
        <v>84014.897186633796</v>
      </c>
      <c r="F396" s="3">
        <v>102213.29647592999</v>
      </c>
      <c r="G396" s="3">
        <v>96941.571228405999</v>
      </c>
      <c r="H396" s="3">
        <v>91669.845980882295</v>
      </c>
      <c r="I396" s="3">
        <v>96450.1029750585</v>
      </c>
      <c r="J396" s="3">
        <v>101230.359969235</v>
      </c>
      <c r="K396" s="3">
        <v>101229.994145833</v>
      </c>
      <c r="L396" s="3">
        <v>101229.628322431</v>
      </c>
      <c r="M396" s="3">
        <v>88337.023755691509</v>
      </c>
      <c r="N396" s="3">
        <v>75444.419188952495</v>
      </c>
      <c r="O396" s="3">
        <v>68437.879362608204</v>
      </c>
      <c r="P396" s="3">
        <v>61431.339536263797</v>
      </c>
      <c r="Q396" s="3">
        <v>52906.882791300297</v>
      </c>
      <c r="R396" s="3">
        <v>44382.426046336805</v>
      </c>
      <c r="S396" s="3">
        <v>0</v>
      </c>
      <c r="U396">
        <v>65.816497897338095</v>
      </c>
    </row>
    <row r="397" spans="1:21" x14ac:dyDescent="0.3">
      <c r="B397" s="43"/>
      <c r="C397" s="77">
        <v>3.75</v>
      </c>
      <c r="D397" s="3">
        <v>87849.672171573402</v>
      </c>
      <c r="E397" s="3">
        <v>109538.04479206601</v>
      </c>
      <c r="F397" s="3">
        <v>131226.41741255898</v>
      </c>
      <c r="G397" s="3">
        <v>140289.16788613901</v>
      </c>
      <c r="H397" s="3">
        <v>149351.91835971901</v>
      </c>
      <c r="I397" s="3">
        <v>149365.087906612</v>
      </c>
      <c r="J397" s="3">
        <v>149378.25745350501</v>
      </c>
      <c r="K397" s="3">
        <v>138030.56405045101</v>
      </c>
      <c r="L397" s="3">
        <v>126682.87064739699</v>
      </c>
      <c r="M397" s="3">
        <v>121538.291085048</v>
      </c>
      <c r="N397" s="3">
        <v>116393.7115227</v>
      </c>
      <c r="O397" s="3">
        <v>103692.96819748099</v>
      </c>
      <c r="P397" s="3">
        <v>90992.22487226341</v>
      </c>
      <c r="Q397" s="3">
        <v>82310.152960307809</v>
      </c>
      <c r="R397" s="3">
        <v>73628.081048352295</v>
      </c>
      <c r="S397" s="3">
        <v>0</v>
      </c>
      <c r="U397">
        <v>87.849672171573403</v>
      </c>
    </row>
    <row r="398" spans="1:21" x14ac:dyDescent="0.3">
      <c r="B398" s="43"/>
      <c r="C398" s="77">
        <v>4.25</v>
      </c>
      <c r="D398" s="3">
        <v>109882.84644580899</v>
      </c>
      <c r="E398" s="3">
        <v>135061.192397498</v>
      </c>
      <c r="F398" s="3">
        <v>160239.53834918799</v>
      </c>
      <c r="G398" s="3">
        <v>183636.76454387201</v>
      </c>
      <c r="H398" s="3">
        <v>207033.99073855602</v>
      </c>
      <c r="I398" s="3">
        <v>202280.072838166</v>
      </c>
      <c r="J398" s="3">
        <v>197526.15493777499</v>
      </c>
      <c r="K398" s="3">
        <v>174831.13395506999</v>
      </c>
      <c r="L398" s="3">
        <v>152136.112972364</v>
      </c>
      <c r="M398" s="3">
        <v>154739.55841440501</v>
      </c>
      <c r="N398" s="3">
        <v>157343.003856447</v>
      </c>
      <c r="O398" s="3">
        <v>138948.05703235499</v>
      </c>
      <c r="P398" s="3">
        <v>120553.11020826301</v>
      </c>
      <c r="Q398" s="3">
        <v>111713.42312931501</v>
      </c>
      <c r="R398" s="3">
        <v>102873.736050368</v>
      </c>
      <c r="S398" s="3">
        <v>0</v>
      </c>
      <c r="U398">
        <v>109.88284644580899</v>
      </c>
    </row>
    <row r="399" spans="1:21" x14ac:dyDescent="0.3">
      <c r="B399" s="43"/>
      <c r="C399" s="77">
        <v>4.75</v>
      </c>
      <c r="D399" s="3">
        <v>131088.396335319</v>
      </c>
      <c r="E399" s="3">
        <v>166896.109049497</v>
      </c>
      <c r="F399" s="3">
        <v>202703.82176367499</v>
      </c>
      <c r="G399" s="3">
        <v>223988.088104889</v>
      </c>
      <c r="H399" s="3">
        <v>245272.35444610202</v>
      </c>
      <c r="I399" s="3">
        <v>247387.628026552</v>
      </c>
      <c r="J399" s="3">
        <v>249502.90160700202</v>
      </c>
      <c r="K399" s="3">
        <v>229135.54240054099</v>
      </c>
      <c r="L399" s="3">
        <v>208768.18319408098</v>
      </c>
      <c r="M399" s="3">
        <v>212602.31202082301</v>
      </c>
      <c r="N399" s="3">
        <v>216436.44084756498</v>
      </c>
      <c r="O399" s="3">
        <v>186150.05010225301</v>
      </c>
      <c r="P399" s="3">
        <v>155863.65935694202</v>
      </c>
      <c r="Q399" s="3">
        <v>135479.891608534</v>
      </c>
      <c r="R399" s="3">
        <v>115096.12386012501</v>
      </c>
      <c r="S399" s="3">
        <v>0</v>
      </c>
      <c r="U399">
        <v>131.088396335319</v>
      </c>
    </row>
    <row r="400" spans="1:21" x14ac:dyDescent="0.3">
      <c r="B400" s="43"/>
      <c r="C400" s="77">
        <v>5.25</v>
      </c>
      <c r="D400" s="3">
        <v>152293.94622483</v>
      </c>
      <c r="E400" s="3">
        <v>198731.02570149701</v>
      </c>
      <c r="F400" s="3">
        <v>245168.10517816298</v>
      </c>
      <c r="G400" s="3">
        <v>264339.41166590498</v>
      </c>
      <c r="H400" s="3">
        <v>283510.71815364703</v>
      </c>
      <c r="I400" s="3">
        <v>292495.18321493699</v>
      </c>
      <c r="J400" s="3">
        <v>301479.64827622799</v>
      </c>
      <c r="K400" s="3">
        <v>283439.95084601303</v>
      </c>
      <c r="L400" s="3">
        <v>265400.253415799</v>
      </c>
      <c r="M400" s="3">
        <v>270465.06562724104</v>
      </c>
      <c r="N400" s="3">
        <v>275529.87783868297</v>
      </c>
      <c r="O400" s="3">
        <v>233352.04317215201</v>
      </c>
      <c r="P400" s="3">
        <v>191174.20850562101</v>
      </c>
      <c r="Q400" s="3">
        <v>159246.36008775202</v>
      </c>
      <c r="R400" s="3">
        <v>127318.511669883</v>
      </c>
      <c r="S400" s="3">
        <v>0</v>
      </c>
      <c r="U400">
        <v>152.29394622482999</v>
      </c>
    </row>
    <row r="401" spans="1:21" x14ac:dyDescent="0.3">
      <c r="B401" s="43"/>
      <c r="C401" s="77">
        <v>5.75</v>
      </c>
      <c r="D401" s="3">
        <v>204323.84867556399</v>
      </c>
      <c r="E401" s="3">
        <v>255444.87930488901</v>
      </c>
      <c r="F401" s="3">
        <v>306565.90993421403</v>
      </c>
      <c r="G401" s="3">
        <v>332242.78318735299</v>
      </c>
      <c r="H401" s="3">
        <v>357919.65644049301</v>
      </c>
      <c r="I401" s="3">
        <v>366183.636578076</v>
      </c>
      <c r="J401" s="3">
        <v>374447.61671565997</v>
      </c>
      <c r="K401" s="3">
        <v>340266.57967528305</v>
      </c>
      <c r="L401" s="3">
        <v>306085.54263490695</v>
      </c>
      <c r="M401" s="3">
        <v>308807.54017381702</v>
      </c>
      <c r="N401" s="3">
        <v>311529.53771272599</v>
      </c>
      <c r="O401" s="3">
        <v>257271.82788717101</v>
      </c>
      <c r="P401" s="3">
        <v>203014.11806161498</v>
      </c>
      <c r="Q401" s="3">
        <v>181381.48674250301</v>
      </c>
      <c r="R401" s="3">
        <v>159748.85542339002</v>
      </c>
      <c r="S401" s="3">
        <v>0</v>
      </c>
      <c r="U401">
        <v>204.32384867556399</v>
      </c>
    </row>
    <row r="402" spans="1:21" x14ac:dyDescent="0.3">
      <c r="B402" s="43"/>
      <c r="C402" s="77">
        <v>6.25</v>
      </c>
      <c r="D402" s="3">
        <v>256353.75112629798</v>
      </c>
      <c r="E402" s="3">
        <v>312158.73290828103</v>
      </c>
      <c r="F402" s="3">
        <v>367963.71469026402</v>
      </c>
      <c r="G402" s="3">
        <v>400146.154708802</v>
      </c>
      <c r="H402" s="3">
        <v>432328.59472733899</v>
      </c>
      <c r="I402" s="3">
        <v>439872.089941215</v>
      </c>
      <c r="J402" s="3">
        <v>447415.58515509201</v>
      </c>
      <c r="K402" s="3">
        <v>397093.20850455301</v>
      </c>
      <c r="L402" s="3">
        <v>346770.83185401501</v>
      </c>
      <c r="M402" s="3">
        <v>347150.01472039201</v>
      </c>
      <c r="N402" s="3">
        <v>347529.19758676999</v>
      </c>
      <c r="O402" s="3">
        <v>281191.61260219</v>
      </c>
      <c r="P402" s="3">
        <v>214854.02761761</v>
      </c>
      <c r="Q402" s="3">
        <v>203516.613397254</v>
      </c>
      <c r="R402" s="3">
        <v>192179.19917689697</v>
      </c>
      <c r="S402" s="3">
        <v>0</v>
      </c>
      <c r="U402">
        <v>256.35375112629799</v>
      </c>
    </row>
    <row r="403" spans="1:21" x14ac:dyDescent="0.3">
      <c r="B403" s="43"/>
      <c r="C403" s="77">
        <v>6.75</v>
      </c>
      <c r="D403" s="3">
        <v>256353.75112629798</v>
      </c>
      <c r="E403" s="3">
        <v>312158.73290828103</v>
      </c>
      <c r="F403" s="3">
        <v>367963.71469026402</v>
      </c>
      <c r="G403" s="3">
        <v>400146.154708802</v>
      </c>
      <c r="H403" s="3">
        <v>432328.59472733899</v>
      </c>
      <c r="I403" s="3">
        <v>439872.089941215</v>
      </c>
      <c r="J403" s="3">
        <v>447415.58515509201</v>
      </c>
      <c r="K403" s="3">
        <v>397093.20850455301</v>
      </c>
      <c r="L403" s="3">
        <v>346770.83185401501</v>
      </c>
      <c r="M403" s="3">
        <v>347150.01472039201</v>
      </c>
      <c r="N403" s="3">
        <v>347529.19758676999</v>
      </c>
      <c r="O403" s="3">
        <v>281191.61260219</v>
      </c>
      <c r="P403" s="3">
        <v>214854.02761761</v>
      </c>
      <c r="Q403" s="3">
        <v>203516.613397254</v>
      </c>
      <c r="R403" s="3">
        <v>192179.19917689697</v>
      </c>
      <c r="S403" s="3">
        <v>0</v>
      </c>
    </row>
    <row r="404" spans="1:21" x14ac:dyDescent="0.3">
      <c r="B404" s="43"/>
      <c r="C404" s="77">
        <v>7.25</v>
      </c>
      <c r="D404" s="3">
        <v>256353.75112629798</v>
      </c>
      <c r="E404" s="3">
        <v>312158.73290828103</v>
      </c>
      <c r="F404" s="3">
        <v>367963.71469026402</v>
      </c>
      <c r="G404" s="3">
        <v>400146.154708802</v>
      </c>
      <c r="H404" s="3">
        <v>432328.59472733899</v>
      </c>
      <c r="I404" s="3">
        <v>439872.089941215</v>
      </c>
      <c r="J404" s="3">
        <v>447415.58515509201</v>
      </c>
      <c r="K404" s="3">
        <v>397093.20850455301</v>
      </c>
      <c r="L404" s="3">
        <v>346770.83185401501</v>
      </c>
      <c r="M404" s="3">
        <v>347150.01472039201</v>
      </c>
      <c r="N404" s="3">
        <v>347529.19758676999</v>
      </c>
      <c r="O404" s="3">
        <v>281191.61260219</v>
      </c>
      <c r="P404" s="3">
        <v>214854.02761761</v>
      </c>
      <c r="Q404" s="3">
        <v>203516.613397254</v>
      </c>
      <c r="R404" s="3">
        <v>192179.19917689697</v>
      </c>
      <c r="S404" s="3">
        <v>0</v>
      </c>
    </row>
    <row r="405" spans="1:21" x14ac:dyDescent="0.3">
      <c r="B405" s="43"/>
      <c r="C405" s="77">
        <v>7.75</v>
      </c>
      <c r="D405" s="3">
        <v>256353.75112629798</v>
      </c>
      <c r="E405" s="3">
        <v>312158.73290828103</v>
      </c>
      <c r="F405" s="3">
        <v>367963.71469026402</v>
      </c>
      <c r="G405" s="3">
        <v>400146.154708802</v>
      </c>
      <c r="H405" s="3">
        <v>432328.59472733899</v>
      </c>
      <c r="I405" s="3">
        <v>439872.089941215</v>
      </c>
      <c r="J405" s="3">
        <v>447415.58515509201</v>
      </c>
      <c r="K405" s="3">
        <v>397093.20850455301</v>
      </c>
      <c r="L405" s="3">
        <v>346770.83185401501</v>
      </c>
      <c r="M405" s="3">
        <v>347150.01472039201</v>
      </c>
      <c r="N405" s="3">
        <v>347529.19758676999</v>
      </c>
      <c r="O405" s="3">
        <v>281191.61260219</v>
      </c>
      <c r="P405" s="3">
        <v>214854.02761761</v>
      </c>
      <c r="Q405" s="3">
        <v>203516.613397254</v>
      </c>
      <c r="R405" s="3">
        <v>192179.19917689697</v>
      </c>
      <c r="S405" s="3">
        <v>0</v>
      </c>
    </row>
    <row r="406" spans="1:21" x14ac:dyDescent="0.3">
      <c r="B406" s="43"/>
      <c r="C406" s="77">
        <v>8.25</v>
      </c>
      <c r="D406" s="3">
        <v>256353.75112629798</v>
      </c>
      <c r="E406" s="3">
        <v>312158.73290828103</v>
      </c>
      <c r="F406" s="3">
        <v>367963.71469026402</v>
      </c>
      <c r="G406" s="3">
        <v>400146.154708802</v>
      </c>
      <c r="H406" s="3">
        <v>432328.59472733899</v>
      </c>
      <c r="I406" s="3">
        <v>439872.089941215</v>
      </c>
      <c r="J406" s="3">
        <v>447415.58515509201</v>
      </c>
      <c r="K406" s="3">
        <v>397093.20850455301</v>
      </c>
      <c r="L406" s="3">
        <v>346770.83185401501</v>
      </c>
      <c r="M406" s="3">
        <v>347150.01472039201</v>
      </c>
      <c r="N406" s="3">
        <v>347529.19758676999</v>
      </c>
      <c r="O406" s="3">
        <v>281191.61260219</v>
      </c>
      <c r="P406" s="3">
        <v>214854.02761761</v>
      </c>
      <c r="Q406" s="3">
        <v>203516.613397254</v>
      </c>
      <c r="R406" s="3">
        <v>192179.19917689697</v>
      </c>
      <c r="S406" s="3">
        <v>0</v>
      </c>
    </row>
    <row r="407" spans="1:21" x14ac:dyDescent="0.3">
      <c r="B407" s="43"/>
      <c r="C407" s="77">
        <v>8.75</v>
      </c>
      <c r="D407" s="3">
        <v>256353.75112629798</v>
      </c>
      <c r="E407" s="3">
        <v>312158.73290828103</v>
      </c>
      <c r="F407" s="3">
        <v>367963.71469026402</v>
      </c>
      <c r="G407" s="3">
        <v>400146.154708802</v>
      </c>
      <c r="H407" s="3">
        <v>432328.59472733899</v>
      </c>
      <c r="I407" s="3">
        <v>439872.089941215</v>
      </c>
      <c r="J407" s="3">
        <v>447415.58515509201</v>
      </c>
      <c r="K407" s="3">
        <v>397093.20850455301</v>
      </c>
      <c r="L407" s="3">
        <v>346770.83185401501</v>
      </c>
      <c r="M407" s="3">
        <v>347150.01472039201</v>
      </c>
      <c r="N407" s="3">
        <v>347529.19758676999</v>
      </c>
      <c r="O407" s="3">
        <v>281191.61260219</v>
      </c>
      <c r="P407" s="3">
        <v>214854.02761761</v>
      </c>
      <c r="Q407" s="3">
        <v>203516.613397254</v>
      </c>
      <c r="R407" s="3">
        <v>192179.19917689697</v>
      </c>
      <c r="S407" s="3">
        <v>0</v>
      </c>
    </row>
    <row r="408" spans="1:21" x14ac:dyDescent="0.3">
      <c r="B408" s="43"/>
      <c r="C408" s="77">
        <v>9.25</v>
      </c>
      <c r="D408" s="3">
        <v>256353.75112629798</v>
      </c>
      <c r="E408" s="3">
        <v>312158.73290828103</v>
      </c>
      <c r="F408" s="3">
        <v>367963.71469026402</v>
      </c>
      <c r="G408" s="3">
        <v>400146.154708802</v>
      </c>
      <c r="H408" s="3">
        <v>432328.59472733899</v>
      </c>
      <c r="I408" s="3">
        <v>439872.089941215</v>
      </c>
      <c r="J408" s="3">
        <v>447415.58515509201</v>
      </c>
      <c r="K408" s="3">
        <v>397093.20850455301</v>
      </c>
      <c r="L408" s="3">
        <v>346770.83185401501</v>
      </c>
      <c r="M408" s="3">
        <v>347150.01472039201</v>
      </c>
      <c r="N408" s="3">
        <v>347529.19758676999</v>
      </c>
      <c r="O408" s="3">
        <v>281191.61260219</v>
      </c>
      <c r="P408" s="3">
        <v>214854.02761761</v>
      </c>
      <c r="Q408" s="3">
        <v>203516.613397254</v>
      </c>
      <c r="R408" s="3">
        <v>192179.19917689697</v>
      </c>
      <c r="S408" s="3">
        <v>0</v>
      </c>
    </row>
    <row r="409" spans="1:21" x14ac:dyDescent="0.3">
      <c r="B409" s="43"/>
      <c r="C409" s="77">
        <v>9.75</v>
      </c>
      <c r="D409" s="3">
        <v>256353.75112629798</v>
      </c>
      <c r="E409" s="3">
        <v>312158.73290828103</v>
      </c>
      <c r="F409" s="3">
        <v>367963.71469026402</v>
      </c>
      <c r="G409" s="3">
        <v>400146.154708802</v>
      </c>
      <c r="H409" s="3">
        <v>432328.59472733899</v>
      </c>
      <c r="I409" s="3">
        <v>439872.089941215</v>
      </c>
      <c r="J409" s="3">
        <v>447415.58515509201</v>
      </c>
      <c r="K409" s="3">
        <v>397093.20850455301</v>
      </c>
      <c r="L409" s="3">
        <v>346770.83185401501</v>
      </c>
      <c r="M409" s="3">
        <v>347150.01472039201</v>
      </c>
      <c r="N409" s="3">
        <v>347529.19758676999</v>
      </c>
      <c r="O409" s="3">
        <v>281191.61260219</v>
      </c>
      <c r="P409" s="3">
        <v>214854.02761761</v>
      </c>
      <c r="Q409" s="3">
        <v>203516.613397254</v>
      </c>
      <c r="R409" s="3">
        <v>192179.19917689697</v>
      </c>
      <c r="S409" s="3">
        <v>0</v>
      </c>
    </row>
    <row r="411" spans="1:21" x14ac:dyDescent="0.3">
      <c r="A411">
        <v>12</v>
      </c>
      <c r="B411" s="110"/>
    </row>
    <row r="412" spans="1:21" x14ac:dyDescent="0.3">
      <c r="A412" s="45" t="s">
        <v>89</v>
      </c>
      <c r="B412" s="43"/>
    </row>
    <row r="413" spans="1:21" x14ac:dyDescent="0.3">
      <c r="A413" s="43"/>
      <c r="B413" s="43" t="s">
        <v>91</v>
      </c>
      <c r="D413">
        <v>14</v>
      </c>
      <c r="E413" t="s">
        <v>4</v>
      </c>
    </row>
    <row r="414" spans="1:21" x14ac:dyDescent="0.3">
      <c r="A414" s="43"/>
      <c r="B414" s="43" t="s">
        <v>93</v>
      </c>
      <c r="D414">
        <v>3.7</v>
      </c>
      <c r="E414" t="s">
        <v>4</v>
      </c>
    </row>
    <row r="415" spans="1:21" x14ac:dyDescent="0.3">
      <c r="A415" s="43"/>
      <c r="B415" s="43" t="s">
        <v>124</v>
      </c>
      <c r="D415" s="6">
        <f>(D413/2)^2*PI()*D414</f>
        <v>569.57074809582946</v>
      </c>
      <c r="E415" t="s">
        <v>5</v>
      </c>
    </row>
    <row r="416" spans="1:21" x14ac:dyDescent="0.3">
      <c r="A416" s="43"/>
      <c r="B416" s="43" t="s">
        <v>12</v>
      </c>
      <c r="D416">
        <v>0</v>
      </c>
      <c r="E416" t="s">
        <v>125</v>
      </c>
    </row>
    <row r="417" spans="1:21" x14ac:dyDescent="0.3">
      <c r="A417" s="43"/>
      <c r="B417" s="43" t="s">
        <v>126</v>
      </c>
      <c r="D417">
        <v>0.1</v>
      </c>
    </row>
    <row r="418" spans="1:21" x14ac:dyDescent="0.3">
      <c r="B418" s="43" t="s">
        <v>127</v>
      </c>
      <c r="D418">
        <v>0.1</v>
      </c>
    </row>
    <row r="419" spans="1:21" x14ac:dyDescent="0.3">
      <c r="B419" s="43" t="s">
        <v>145</v>
      </c>
      <c r="D419">
        <v>1</v>
      </c>
    </row>
    <row r="421" spans="1:21" x14ac:dyDescent="0.3">
      <c r="A421" s="7" t="s">
        <v>18</v>
      </c>
    </row>
    <row r="422" spans="1:21" x14ac:dyDescent="0.3">
      <c r="B422" s="43"/>
      <c r="C422" s="43"/>
      <c r="D422" s="43" t="s">
        <v>117</v>
      </c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</row>
    <row r="423" spans="1:21" x14ac:dyDescent="0.3">
      <c r="B423" s="43"/>
      <c r="C423" s="75"/>
      <c r="D423" s="76">
        <v>4.5</v>
      </c>
      <c r="E423" s="76">
        <v>5.5</v>
      </c>
      <c r="F423" s="76">
        <v>6.5</v>
      </c>
      <c r="G423" s="76">
        <v>7.5</v>
      </c>
      <c r="H423" s="76">
        <v>8.5</v>
      </c>
      <c r="I423" s="76">
        <v>9.5</v>
      </c>
      <c r="J423" s="76">
        <v>10.5</v>
      </c>
      <c r="K423" s="76">
        <v>11.5</v>
      </c>
      <c r="L423" s="76">
        <v>12.5</v>
      </c>
      <c r="M423" s="76">
        <v>13.5</v>
      </c>
      <c r="N423" s="76">
        <v>14.5</v>
      </c>
      <c r="O423" s="76">
        <v>15.5</v>
      </c>
      <c r="P423" s="76">
        <v>16.5</v>
      </c>
      <c r="Q423" s="76">
        <v>17.5</v>
      </c>
      <c r="R423" s="76">
        <v>18.5</v>
      </c>
      <c r="S423" s="76">
        <v>19.5</v>
      </c>
    </row>
    <row r="424" spans="1:21" x14ac:dyDescent="0.3">
      <c r="B424" s="43" t="s">
        <v>118</v>
      </c>
      <c r="C424" s="77">
        <v>0.25</v>
      </c>
      <c r="D424" s="3">
        <v>472.81879130454303</v>
      </c>
      <c r="E424" s="3">
        <v>618.55441277976297</v>
      </c>
      <c r="F424" s="3">
        <v>764.29003425498399</v>
      </c>
      <c r="G424" s="3">
        <v>790.37617311617998</v>
      </c>
      <c r="H424" s="3">
        <v>816.46231197737495</v>
      </c>
      <c r="I424" s="3">
        <v>873.46339562888897</v>
      </c>
      <c r="J424" s="3">
        <v>930.464479280403</v>
      </c>
      <c r="K424" s="3">
        <v>858.73060064793606</v>
      </c>
      <c r="L424" s="3">
        <v>786.996722015469</v>
      </c>
      <c r="M424" s="3">
        <v>895.37730623958203</v>
      </c>
      <c r="N424" s="3">
        <v>1003.7578904636899</v>
      </c>
      <c r="O424" s="3">
        <v>903.08743685131503</v>
      </c>
      <c r="P424" s="3">
        <v>802.41698323893593</v>
      </c>
      <c r="Q424" s="3">
        <v>601.51370889179805</v>
      </c>
      <c r="R424" s="3">
        <v>400.61043454466</v>
      </c>
      <c r="S424" s="3">
        <v>0</v>
      </c>
      <c r="U424">
        <v>0.47281879130454302</v>
      </c>
    </row>
    <row r="425" spans="1:21" x14ac:dyDescent="0.3">
      <c r="B425" s="43"/>
      <c r="C425" s="77">
        <v>0.75</v>
      </c>
      <c r="D425" s="3">
        <v>5954.3390174903498</v>
      </c>
      <c r="E425" s="3">
        <v>7839.5868475940497</v>
      </c>
      <c r="F425" s="3">
        <v>9724.8346776977614</v>
      </c>
      <c r="G425" s="3">
        <v>10233.9866630054</v>
      </c>
      <c r="H425" s="3">
        <v>10743.138648312999</v>
      </c>
      <c r="I425" s="3">
        <v>10887.414894933399</v>
      </c>
      <c r="J425" s="3">
        <v>11031.6911415538</v>
      </c>
      <c r="K425" s="3">
        <v>11358.889706305601</v>
      </c>
      <c r="L425" s="3">
        <v>11686.088271057401</v>
      </c>
      <c r="M425" s="3">
        <v>9803.550261175531</v>
      </c>
      <c r="N425" s="3">
        <v>7921.0122512936805</v>
      </c>
      <c r="O425" s="3">
        <v>8153.3122755243903</v>
      </c>
      <c r="P425" s="3">
        <v>8385.6122997551101</v>
      </c>
      <c r="Q425" s="3">
        <v>7640.9997829827098</v>
      </c>
      <c r="R425" s="3">
        <v>6896.3872662103095</v>
      </c>
      <c r="S425" s="3">
        <v>0</v>
      </c>
      <c r="U425">
        <v>5.9543390174903497</v>
      </c>
    </row>
    <row r="426" spans="1:21" x14ac:dyDescent="0.3">
      <c r="B426" s="43"/>
      <c r="C426" s="77">
        <v>1.25</v>
      </c>
      <c r="D426" s="3">
        <v>11435.859243676199</v>
      </c>
      <c r="E426" s="3">
        <v>15060.619282408301</v>
      </c>
      <c r="F426" s="3">
        <v>18685.379321140499</v>
      </c>
      <c r="G426" s="3">
        <v>19677.597152894599</v>
      </c>
      <c r="H426" s="3">
        <v>20669.814984648699</v>
      </c>
      <c r="I426" s="3">
        <v>20901.366394237899</v>
      </c>
      <c r="J426" s="3">
        <v>21132.917803827102</v>
      </c>
      <c r="K426" s="3">
        <v>21859.048811963199</v>
      </c>
      <c r="L426" s="3">
        <v>22585.1798200993</v>
      </c>
      <c r="M426" s="3">
        <v>18711.723216111503</v>
      </c>
      <c r="N426" s="3">
        <v>14838.2666121237</v>
      </c>
      <c r="O426" s="3">
        <v>15403.537114197499</v>
      </c>
      <c r="P426" s="3">
        <v>15968.807616271301</v>
      </c>
      <c r="Q426" s="3">
        <v>14680.485857073601</v>
      </c>
      <c r="R426" s="3">
        <v>13392.164097876001</v>
      </c>
      <c r="S426" s="3">
        <v>0</v>
      </c>
      <c r="U426">
        <v>11.4358592436762</v>
      </c>
    </row>
    <row r="427" spans="1:21" x14ac:dyDescent="0.3">
      <c r="B427" s="43"/>
      <c r="C427" s="77">
        <v>1.75</v>
      </c>
      <c r="D427" s="3">
        <v>22242.513082108602</v>
      </c>
      <c r="E427" s="3">
        <v>30880.153975434103</v>
      </c>
      <c r="F427" s="3">
        <v>39517.794868759702</v>
      </c>
      <c r="G427" s="3">
        <v>43341.716562561698</v>
      </c>
      <c r="H427" s="3">
        <v>47165.638256363796</v>
      </c>
      <c r="I427" s="3">
        <v>46730.5294562095</v>
      </c>
      <c r="J427" s="3">
        <v>46295.420656055197</v>
      </c>
      <c r="K427" s="3">
        <v>48107.3893049572</v>
      </c>
      <c r="L427" s="3">
        <v>49919.357953859195</v>
      </c>
      <c r="M427" s="3">
        <v>43073.046109406496</v>
      </c>
      <c r="N427" s="3">
        <v>36226.734264953695</v>
      </c>
      <c r="O427" s="3">
        <v>34264.353482476501</v>
      </c>
      <c r="P427" s="3">
        <v>32301.972699999296</v>
      </c>
      <c r="Q427" s="3">
        <v>29353.594492003802</v>
      </c>
      <c r="R427" s="3">
        <v>26405.2162840083</v>
      </c>
      <c r="S427" s="3">
        <v>0</v>
      </c>
      <c r="U427">
        <v>22.242513082108601</v>
      </c>
    </row>
    <row r="428" spans="1:21" x14ac:dyDescent="0.3">
      <c r="B428" s="43"/>
      <c r="C428" s="77">
        <v>2.25</v>
      </c>
      <c r="D428" s="3">
        <v>33049.166920541</v>
      </c>
      <c r="E428" s="3">
        <v>46699.688668459901</v>
      </c>
      <c r="F428" s="3">
        <v>60350.210416378803</v>
      </c>
      <c r="G428" s="3">
        <v>67005.835972228801</v>
      </c>
      <c r="H428" s="3">
        <v>73661.4615280789</v>
      </c>
      <c r="I428" s="3">
        <v>72559.692518181095</v>
      </c>
      <c r="J428" s="3">
        <v>71457.923508283406</v>
      </c>
      <c r="K428" s="3">
        <v>74355.729797951295</v>
      </c>
      <c r="L428" s="3">
        <v>77253.536087619199</v>
      </c>
      <c r="M428" s="3">
        <v>67434.369002701409</v>
      </c>
      <c r="N428" s="3">
        <v>57615.201917783699</v>
      </c>
      <c r="O428" s="3">
        <v>53125.169850755497</v>
      </c>
      <c r="P428" s="3">
        <v>48635.137783727405</v>
      </c>
      <c r="Q428" s="3">
        <v>44026.703126934</v>
      </c>
      <c r="R428" s="3">
        <v>39418.268470140603</v>
      </c>
      <c r="S428" s="3">
        <v>0</v>
      </c>
      <c r="U428">
        <v>33.049166920540998</v>
      </c>
    </row>
    <row r="429" spans="1:21" x14ac:dyDescent="0.3">
      <c r="B429" s="43"/>
      <c r="C429" s="77">
        <v>2.75</v>
      </c>
      <c r="D429" s="3">
        <v>60134.9479106086</v>
      </c>
      <c r="E429" s="3">
        <v>76302.307893624398</v>
      </c>
      <c r="F429" s="3">
        <v>92469.667876640306</v>
      </c>
      <c r="G429" s="3">
        <v>106133.93472829201</v>
      </c>
      <c r="H429" s="3">
        <v>119798.20157994401</v>
      </c>
      <c r="I429" s="3">
        <v>115017.68897628201</v>
      </c>
      <c r="J429" s="3">
        <v>110237.17637262</v>
      </c>
      <c r="K429" s="3">
        <v>108778.496715744</v>
      </c>
      <c r="L429" s="3">
        <v>107319.81705886799</v>
      </c>
      <c r="M429" s="3">
        <v>97127.9163576172</v>
      </c>
      <c r="N429" s="3">
        <v>86936.015656366391</v>
      </c>
      <c r="O429" s="3">
        <v>81784.51036603011</v>
      </c>
      <c r="P429" s="3">
        <v>76633.0050756938</v>
      </c>
      <c r="Q429" s="3">
        <v>69295.888869639602</v>
      </c>
      <c r="R429" s="3">
        <v>61958.772663585303</v>
      </c>
      <c r="S429" s="3">
        <v>0</v>
      </c>
      <c r="U429">
        <v>60.134947910608602</v>
      </c>
    </row>
    <row r="430" spans="1:21" x14ac:dyDescent="0.3">
      <c r="B430" s="43"/>
      <c r="C430" s="77">
        <v>3.25</v>
      </c>
      <c r="D430" s="3">
        <v>87220.7289006762</v>
      </c>
      <c r="E430" s="3">
        <v>105904.927118789</v>
      </c>
      <c r="F430" s="3">
        <v>124589.125336902</v>
      </c>
      <c r="G430" s="3">
        <v>145262.03348435499</v>
      </c>
      <c r="H430" s="3">
        <v>165934.94163180902</v>
      </c>
      <c r="I430" s="3">
        <v>157475.685434382</v>
      </c>
      <c r="J430" s="3">
        <v>149016.429236956</v>
      </c>
      <c r="K430" s="3">
        <v>143201.263633536</v>
      </c>
      <c r="L430" s="3">
        <v>137386.09803011702</v>
      </c>
      <c r="M430" s="3">
        <v>126821.463712533</v>
      </c>
      <c r="N430" s="3">
        <v>116256.82939494899</v>
      </c>
      <c r="O430" s="3">
        <v>110443.850881305</v>
      </c>
      <c r="P430" s="3">
        <v>104630.87236766001</v>
      </c>
      <c r="Q430" s="3">
        <v>94565.074612345095</v>
      </c>
      <c r="R430" s="3">
        <v>84499.276857029996</v>
      </c>
      <c r="S430" s="3">
        <v>0</v>
      </c>
      <c r="U430">
        <v>87.220728900676207</v>
      </c>
    </row>
    <row r="431" spans="1:21" x14ac:dyDescent="0.3">
      <c r="B431" s="43"/>
      <c r="C431" s="77">
        <v>3.75</v>
      </c>
      <c r="D431" s="3">
        <v>98671.033716782898</v>
      </c>
      <c r="E431" s="3">
        <v>131503.844189717</v>
      </c>
      <c r="F431" s="3">
        <v>164336.65466265101</v>
      </c>
      <c r="G431" s="3">
        <v>182400.48495519802</v>
      </c>
      <c r="H431" s="3">
        <v>200464.315247744</v>
      </c>
      <c r="I431" s="3">
        <v>207144.94713886001</v>
      </c>
      <c r="J431" s="3">
        <v>213825.579029977</v>
      </c>
      <c r="K431" s="3">
        <v>212990.91658977501</v>
      </c>
      <c r="L431" s="3">
        <v>212156.25414957298</v>
      </c>
      <c r="M431" s="3">
        <v>182403.279143069</v>
      </c>
      <c r="N431" s="3">
        <v>152650.304136566</v>
      </c>
      <c r="O431" s="3">
        <v>151395.239388399</v>
      </c>
      <c r="P431" s="3">
        <v>150140.174640232</v>
      </c>
      <c r="Q431" s="3">
        <v>126880.481706227</v>
      </c>
      <c r="R431" s="3">
        <v>103620.78877222299</v>
      </c>
      <c r="S431" s="3">
        <v>0</v>
      </c>
      <c r="U431">
        <v>98.671033716782901</v>
      </c>
    </row>
    <row r="432" spans="1:21" x14ac:dyDescent="0.3">
      <c r="B432" s="43"/>
      <c r="C432" s="77">
        <v>4.25</v>
      </c>
      <c r="D432" s="3">
        <v>110121.33853288999</v>
      </c>
      <c r="E432" s="3">
        <v>157102.761260645</v>
      </c>
      <c r="F432" s="3">
        <v>204084.183988401</v>
      </c>
      <c r="G432" s="3">
        <v>219538.93642604002</v>
      </c>
      <c r="H432" s="3">
        <v>234993.68886367901</v>
      </c>
      <c r="I432" s="3">
        <v>256814.20884333801</v>
      </c>
      <c r="J432" s="3">
        <v>278634.728822998</v>
      </c>
      <c r="K432" s="3">
        <v>282780.56954601302</v>
      </c>
      <c r="L432" s="3">
        <v>286926.41026902798</v>
      </c>
      <c r="M432" s="3">
        <v>237985.09457360601</v>
      </c>
      <c r="N432" s="3">
        <v>189043.77887818299</v>
      </c>
      <c r="O432" s="3">
        <v>192346.62789549297</v>
      </c>
      <c r="P432" s="3">
        <v>195649.47691280302</v>
      </c>
      <c r="Q432" s="3">
        <v>159195.88880011</v>
      </c>
      <c r="R432" s="3">
        <v>122742.30068741601</v>
      </c>
      <c r="S432" s="3">
        <v>0</v>
      </c>
      <c r="U432">
        <v>110.12133853288999</v>
      </c>
    </row>
    <row r="433" spans="1:21" x14ac:dyDescent="0.3">
      <c r="B433" s="43"/>
      <c r="C433" s="77">
        <v>4.75</v>
      </c>
      <c r="D433" s="3">
        <v>158833.36004735599</v>
      </c>
      <c r="E433" s="3">
        <v>220863.25041714698</v>
      </c>
      <c r="F433" s="3">
        <v>282893.14078693796</v>
      </c>
      <c r="G433" s="3">
        <v>302814.717911268</v>
      </c>
      <c r="H433" s="3">
        <v>322736.29503559798</v>
      </c>
      <c r="I433" s="3">
        <v>336488.451584119</v>
      </c>
      <c r="J433" s="3">
        <v>350240.60813263996</v>
      </c>
      <c r="K433" s="3">
        <v>361487.70314168098</v>
      </c>
      <c r="L433" s="3">
        <v>372734.79815072101</v>
      </c>
      <c r="M433" s="3">
        <v>317553.30584156601</v>
      </c>
      <c r="N433" s="3">
        <v>262371.81353241199</v>
      </c>
      <c r="O433" s="3">
        <v>244192.32888014</v>
      </c>
      <c r="P433" s="3">
        <v>226012.84422786799</v>
      </c>
      <c r="Q433" s="3">
        <v>192966.15545291101</v>
      </c>
      <c r="R433" s="3">
        <v>159919.46667795302</v>
      </c>
      <c r="S433" s="3">
        <v>0</v>
      </c>
      <c r="U433">
        <v>158.833360047356</v>
      </c>
    </row>
    <row r="434" spans="1:21" x14ac:dyDescent="0.3">
      <c r="B434" s="43"/>
      <c r="C434" s="77">
        <v>5.25</v>
      </c>
      <c r="D434" s="3">
        <v>207545.38156182301</v>
      </c>
      <c r="E434" s="3">
        <v>284623.73957364901</v>
      </c>
      <c r="F434" s="3">
        <v>361702.09758547496</v>
      </c>
      <c r="G434" s="3">
        <v>386090.49939649599</v>
      </c>
      <c r="H434" s="3">
        <v>410478.90120751702</v>
      </c>
      <c r="I434" s="3">
        <v>416162.69432489999</v>
      </c>
      <c r="J434" s="3">
        <v>421846.48744228296</v>
      </c>
      <c r="K434" s="3">
        <v>440194.836737348</v>
      </c>
      <c r="L434" s="3">
        <v>458543.18603241397</v>
      </c>
      <c r="M434" s="3">
        <v>397121.51710952702</v>
      </c>
      <c r="N434" s="3">
        <v>335699.84818664001</v>
      </c>
      <c r="O434" s="3">
        <v>296038.02986478701</v>
      </c>
      <c r="P434" s="3">
        <v>256376.21154293299</v>
      </c>
      <c r="Q434" s="3">
        <v>226736.422105712</v>
      </c>
      <c r="R434" s="3">
        <v>197096.63266849</v>
      </c>
      <c r="S434" s="3">
        <v>0</v>
      </c>
      <c r="U434">
        <v>207.54538156182301</v>
      </c>
    </row>
    <row r="435" spans="1:21" x14ac:dyDescent="0.3">
      <c r="B435" s="43"/>
      <c r="C435" s="77">
        <v>5.75</v>
      </c>
      <c r="D435" s="3">
        <v>236598.83997394901</v>
      </c>
      <c r="E435" s="3">
        <v>320796.91969229496</v>
      </c>
      <c r="F435" s="3">
        <v>404994.99941064103</v>
      </c>
      <c r="G435" s="3">
        <v>447746.52593459701</v>
      </c>
      <c r="H435" s="3">
        <v>490498.052458552</v>
      </c>
      <c r="I435" s="3">
        <v>501199.65109455399</v>
      </c>
      <c r="J435" s="3">
        <v>511901.24973055703</v>
      </c>
      <c r="K435" s="3">
        <v>503058.741073996</v>
      </c>
      <c r="L435" s="3">
        <v>494216.23241743603</v>
      </c>
      <c r="M435" s="3">
        <v>437714.62297698797</v>
      </c>
      <c r="N435" s="3">
        <v>381213.01353654003</v>
      </c>
      <c r="O435" s="3">
        <v>357559.52129280503</v>
      </c>
      <c r="P435" s="3">
        <v>333906.02904907096</v>
      </c>
      <c r="Q435" s="3">
        <v>285286.40826286998</v>
      </c>
      <c r="R435" s="3">
        <v>236666.78747666898</v>
      </c>
      <c r="S435" s="3">
        <v>0</v>
      </c>
      <c r="U435">
        <v>236.598839973949</v>
      </c>
    </row>
    <row r="436" spans="1:21" x14ac:dyDescent="0.3">
      <c r="B436" s="43"/>
      <c r="C436" s="77">
        <v>6.25</v>
      </c>
      <c r="D436" s="3">
        <v>265652.29838607402</v>
      </c>
      <c r="E436" s="3">
        <v>356970.09981094103</v>
      </c>
      <c r="F436" s="3">
        <v>448287.90123580804</v>
      </c>
      <c r="G436" s="3">
        <v>509402.55247269699</v>
      </c>
      <c r="H436" s="3">
        <v>570517.20370958699</v>
      </c>
      <c r="I436" s="3">
        <v>586236.60786420899</v>
      </c>
      <c r="J436" s="3">
        <v>601956.01201883005</v>
      </c>
      <c r="K436" s="3">
        <v>565922.64541064505</v>
      </c>
      <c r="L436" s="3">
        <v>529889.27880245901</v>
      </c>
      <c r="M436" s="3">
        <v>478307.72884444898</v>
      </c>
      <c r="N436" s="3">
        <v>426726.17888644</v>
      </c>
      <c r="O436" s="3">
        <v>419081.01272082399</v>
      </c>
      <c r="P436" s="3">
        <v>411435.84655520902</v>
      </c>
      <c r="Q436" s="3">
        <v>343836.39442002901</v>
      </c>
      <c r="R436" s="3">
        <v>276236.94228484901</v>
      </c>
      <c r="S436" s="3">
        <v>0</v>
      </c>
      <c r="U436">
        <v>265.65229838607399</v>
      </c>
    </row>
    <row r="437" spans="1:21" x14ac:dyDescent="0.3">
      <c r="B437" s="43"/>
      <c r="C437" s="77">
        <v>6.75</v>
      </c>
      <c r="D437" s="3">
        <v>265652.29838607402</v>
      </c>
      <c r="E437" s="3">
        <v>356970.09981094103</v>
      </c>
      <c r="F437" s="3">
        <v>448287.90123580804</v>
      </c>
      <c r="G437" s="3">
        <v>509402.55247269699</v>
      </c>
      <c r="H437" s="3">
        <v>570517.20370958699</v>
      </c>
      <c r="I437" s="3">
        <v>586236.60786420899</v>
      </c>
      <c r="J437" s="3">
        <v>601956.01201883005</v>
      </c>
      <c r="K437" s="3">
        <v>565922.64541064505</v>
      </c>
      <c r="L437" s="3">
        <v>529889.27880245901</v>
      </c>
      <c r="M437" s="3">
        <v>478307.72884444898</v>
      </c>
      <c r="N437" s="3">
        <v>426726.17888644</v>
      </c>
      <c r="O437" s="3">
        <v>419081.01272082399</v>
      </c>
      <c r="P437" s="3">
        <v>411435.84655520902</v>
      </c>
      <c r="Q437" s="3">
        <v>343836.39442002901</v>
      </c>
      <c r="R437" s="3">
        <v>276236.94228484901</v>
      </c>
      <c r="S437" s="3">
        <v>0</v>
      </c>
    </row>
    <row r="438" spans="1:21" x14ac:dyDescent="0.3">
      <c r="B438" s="43"/>
      <c r="C438" s="77">
        <v>7.25</v>
      </c>
      <c r="D438" s="3">
        <v>265652.29838607402</v>
      </c>
      <c r="E438" s="3">
        <v>356970.09981094103</v>
      </c>
      <c r="F438" s="3">
        <v>448287.90123580804</v>
      </c>
      <c r="G438" s="3">
        <v>509402.55247269699</v>
      </c>
      <c r="H438" s="3">
        <v>570517.20370958699</v>
      </c>
      <c r="I438" s="3">
        <v>586236.60786420899</v>
      </c>
      <c r="J438" s="3">
        <v>601956.01201883005</v>
      </c>
      <c r="K438" s="3">
        <v>565922.64541064505</v>
      </c>
      <c r="L438" s="3">
        <v>529889.27880245901</v>
      </c>
      <c r="M438" s="3">
        <v>478307.72884444898</v>
      </c>
      <c r="N438" s="3">
        <v>426726.17888644</v>
      </c>
      <c r="O438" s="3">
        <v>419081.01272082399</v>
      </c>
      <c r="P438" s="3">
        <v>411435.84655520902</v>
      </c>
      <c r="Q438" s="3">
        <v>343836.39442002901</v>
      </c>
      <c r="R438" s="3">
        <v>276236.94228484901</v>
      </c>
      <c r="S438" s="3">
        <v>0</v>
      </c>
    </row>
    <row r="439" spans="1:21" x14ac:dyDescent="0.3">
      <c r="B439" s="43"/>
      <c r="C439" s="77">
        <v>7.75</v>
      </c>
      <c r="D439" s="3">
        <v>265652.29838607402</v>
      </c>
      <c r="E439" s="3">
        <v>356970.09981094103</v>
      </c>
      <c r="F439" s="3">
        <v>448287.90123580804</v>
      </c>
      <c r="G439" s="3">
        <v>509402.55247269699</v>
      </c>
      <c r="H439" s="3">
        <v>570517.20370958699</v>
      </c>
      <c r="I439" s="3">
        <v>586236.60786420899</v>
      </c>
      <c r="J439" s="3">
        <v>601956.01201883005</v>
      </c>
      <c r="K439" s="3">
        <v>565922.64541064505</v>
      </c>
      <c r="L439" s="3">
        <v>529889.27880245901</v>
      </c>
      <c r="M439" s="3">
        <v>478307.72884444898</v>
      </c>
      <c r="N439" s="3">
        <v>426726.17888644</v>
      </c>
      <c r="O439" s="3">
        <v>419081.01272082399</v>
      </c>
      <c r="P439" s="3">
        <v>411435.84655520902</v>
      </c>
      <c r="Q439" s="3">
        <v>343836.39442002901</v>
      </c>
      <c r="R439" s="3">
        <v>276236.94228484901</v>
      </c>
      <c r="S439" s="3">
        <v>0</v>
      </c>
    </row>
    <row r="440" spans="1:21" x14ac:dyDescent="0.3">
      <c r="B440" s="43"/>
      <c r="C440" s="77">
        <v>8.25</v>
      </c>
      <c r="D440" s="3">
        <v>265652.29838607402</v>
      </c>
      <c r="E440" s="3">
        <v>356970.09981094103</v>
      </c>
      <c r="F440" s="3">
        <v>448287.90123580804</v>
      </c>
      <c r="G440" s="3">
        <v>509402.55247269699</v>
      </c>
      <c r="H440" s="3">
        <v>570517.20370958699</v>
      </c>
      <c r="I440" s="3">
        <v>586236.60786420899</v>
      </c>
      <c r="J440" s="3">
        <v>601956.01201883005</v>
      </c>
      <c r="K440" s="3">
        <v>565922.64541064505</v>
      </c>
      <c r="L440" s="3">
        <v>529889.27880245901</v>
      </c>
      <c r="M440" s="3">
        <v>478307.72884444898</v>
      </c>
      <c r="N440" s="3">
        <v>426726.17888644</v>
      </c>
      <c r="O440" s="3">
        <v>419081.01272082399</v>
      </c>
      <c r="P440" s="3">
        <v>411435.84655520902</v>
      </c>
      <c r="Q440" s="3">
        <v>343836.39442002901</v>
      </c>
      <c r="R440" s="3">
        <v>276236.94228484901</v>
      </c>
      <c r="S440" s="3">
        <v>0</v>
      </c>
    </row>
    <row r="441" spans="1:21" x14ac:dyDescent="0.3">
      <c r="B441" s="43"/>
      <c r="C441" s="77">
        <v>8.75</v>
      </c>
      <c r="D441" s="3">
        <v>265652.29838607402</v>
      </c>
      <c r="E441" s="3">
        <v>356970.09981094103</v>
      </c>
      <c r="F441" s="3">
        <v>448287.90123580804</v>
      </c>
      <c r="G441" s="3">
        <v>509402.55247269699</v>
      </c>
      <c r="H441" s="3">
        <v>570517.20370958699</v>
      </c>
      <c r="I441" s="3">
        <v>586236.60786420899</v>
      </c>
      <c r="J441" s="3">
        <v>601956.01201883005</v>
      </c>
      <c r="K441" s="3">
        <v>565922.64541064505</v>
      </c>
      <c r="L441" s="3">
        <v>529889.27880245901</v>
      </c>
      <c r="M441" s="3">
        <v>478307.72884444898</v>
      </c>
      <c r="N441" s="3">
        <v>426726.17888644</v>
      </c>
      <c r="O441" s="3">
        <v>419081.01272082399</v>
      </c>
      <c r="P441" s="3">
        <v>411435.84655520902</v>
      </c>
      <c r="Q441" s="3">
        <v>343836.39442002901</v>
      </c>
      <c r="R441" s="3">
        <v>276236.94228484901</v>
      </c>
      <c r="S441" s="3">
        <v>0</v>
      </c>
    </row>
    <row r="442" spans="1:21" x14ac:dyDescent="0.3">
      <c r="B442" s="43"/>
      <c r="C442" s="77">
        <v>9.25</v>
      </c>
      <c r="D442" s="3">
        <v>265652.29838607402</v>
      </c>
      <c r="E442" s="3">
        <v>356970.09981094103</v>
      </c>
      <c r="F442" s="3">
        <v>448287.90123580804</v>
      </c>
      <c r="G442" s="3">
        <v>509402.55247269699</v>
      </c>
      <c r="H442" s="3">
        <v>570517.20370958699</v>
      </c>
      <c r="I442" s="3">
        <v>586236.60786420899</v>
      </c>
      <c r="J442" s="3">
        <v>601956.01201883005</v>
      </c>
      <c r="K442" s="3">
        <v>565922.64541064505</v>
      </c>
      <c r="L442" s="3">
        <v>529889.27880245901</v>
      </c>
      <c r="M442" s="3">
        <v>478307.72884444898</v>
      </c>
      <c r="N442" s="3">
        <v>426726.17888644</v>
      </c>
      <c r="O442" s="3">
        <v>419081.01272082399</v>
      </c>
      <c r="P442" s="3">
        <v>411435.84655520902</v>
      </c>
      <c r="Q442" s="3">
        <v>343836.39442002901</v>
      </c>
      <c r="R442" s="3">
        <v>276236.94228484901</v>
      </c>
      <c r="S442" s="3">
        <v>0</v>
      </c>
    </row>
    <row r="443" spans="1:21" x14ac:dyDescent="0.3">
      <c r="B443" s="43"/>
      <c r="C443" s="77">
        <v>9.75</v>
      </c>
      <c r="D443" s="3">
        <v>265652.29838607402</v>
      </c>
      <c r="E443" s="3">
        <v>356970.09981094103</v>
      </c>
      <c r="F443" s="3">
        <v>448287.90123580804</v>
      </c>
      <c r="G443" s="3">
        <v>509402.55247269699</v>
      </c>
      <c r="H443" s="3">
        <v>570517.20370958699</v>
      </c>
      <c r="I443" s="3">
        <v>586236.60786420899</v>
      </c>
      <c r="J443" s="3">
        <v>601956.01201883005</v>
      </c>
      <c r="K443" s="3">
        <v>565922.64541064505</v>
      </c>
      <c r="L443" s="3">
        <v>529889.27880245901</v>
      </c>
      <c r="M443" s="3">
        <v>478307.72884444898</v>
      </c>
      <c r="N443" s="3">
        <v>426726.17888644</v>
      </c>
      <c r="O443" s="3">
        <v>419081.01272082399</v>
      </c>
      <c r="P443" s="3">
        <v>411435.84655520902</v>
      </c>
      <c r="Q443" s="3">
        <v>343836.39442002901</v>
      </c>
      <c r="R443" s="3">
        <v>276236.94228484901</v>
      </c>
      <c r="S443" s="3">
        <v>0</v>
      </c>
    </row>
    <row r="445" spans="1:21" x14ac:dyDescent="0.3">
      <c r="A445">
        <v>13</v>
      </c>
      <c r="B445" s="110"/>
    </row>
    <row r="446" spans="1:21" x14ac:dyDescent="0.3">
      <c r="A446" s="45" t="s">
        <v>89</v>
      </c>
      <c r="B446" s="43"/>
    </row>
    <row r="447" spans="1:21" x14ac:dyDescent="0.3">
      <c r="A447" s="43"/>
      <c r="B447" s="43" t="s">
        <v>91</v>
      </c>
      <c r="D447">
        <v>17</v>
      </c>
      <c r="E447" t="s">
        <v>4</v>
      </c>
    </row>
    <row r="448" spans="1:21" x14ac:dyDescent="0.3">
      <c r="A448" s="43"/>
      <c r="B448" s="43" t="s">
        <v>93</v>
      </c>
      <c r="D448">
        <v>4.0999999999999996</v>
      </c>
      <c r="E448" t="s">
        <v>4</v>
      </c>
    </row>
    <row r="449" spans="1:21" x14ac:dyDescent="0.3">
      <c r="A449" s="43"/>
      <c r="B449" s="43" t="s">
        <v>124</v>
      </c>
      <c r="D449" s="6">
        <f>(D447/2)^2*PI()*D448</f>
        <v>930.61828380963641</v>
      </c>
      <c r="E449" t="s">
        <v>5</v>
      </c>
    </row>
    <row r="450" spans="1:21" x14ac:dyDescent="0.3">
      <c r="A450" s="43"/>
      <c r="B450" s="43" t="s">
        <v>12</v>
      </c>
      <c r="D450">
        <v>0</v>
      </c>
      <c r="E450" t="s">
        <v>125</v>
      </c>
    </row>
    <row r="451" spans="1:21" x14ac:dyDescent="0.3">
      <c r="A451" s="43"/>
      <c r="B451" s="43" t="s">
        <v>126</v>
      </c>
      <c r="D451">
        <v>0.1</v>
      </c>
    </row>
    <row r="452" spans="1:21" x14ac:dyDescent="0.3">
      <c r="B452" s="43" t="s">
        <v>127</v>
      </c>
      <c r="D452">
        <v>0.1</v>
      </c>
    </row>
    <row r="453" spans="1:21" x14ac:dyDescent="0.3">
      <c r="B453" s="43" t="s">
        <v>145</v>
      </c>
      <c r="D453">
        <v>1</v>
      </c>
    </row>
    <row r="455" spans="1:21" x14ac:dyDescent="0.3">
      <c r="A455" s="7" t="s">
        <v>18</v>
      </c>
    </row>
    <row r="456" spans="1:21" x14ac:dyDescent="0.3">
      <c r="B456" s="43"/>
      <c r="C456" s="43"/>
      <c r="D456" s="43" t="s">
        <v>117</v>
      </c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</row>
    <row r="457" spans="1:21" x14ac:dyDescent="0.3">
      <c r="B457" s="43"/>
      <c r="C457" s="75"/>
      <c r="D457" s="76">
        <v>4.5</v>
      </c>
      <c r="E457" s="76">
        <v>5.5</v>
      </c>
      <c r="F457" s="76">
        <v>6.5</v>
      </c>
      <c r="G457" s="76">
        <v>7.5</v>
      </c>
      <c r="H457" s="76">
        <v>8.5</v>
      </c>
      <c r="I457" s="76">
        <v>9.5</v>
      </c>
      <c r="J457" s="76">
        <v>10.5</v>
      </c>
      <c r="K457" s="76">
        <v>11.5</v>
      </c>
      <c r="L457" s="76">
        <v>12.5</v>
      </c>
      <c r="M457" s="76">
        <v>13.5</v>
      </c>
      <c r="N457" s="76">
        <v>14.5</v>
      </c>
      <c r="O457" s="76">
        <v>15.5</v>
      </c>
      <c r="P457" s="76">
        <v>16.5</v>
      </c>
      <c r="Q457" s="76">
        <v>17.5</v>
      </c>
      <c r="R457" s="76">
        <v>18.5</v>
      </c>
      <c r="S457" s="76">
        <v>19.5</v>
      </c>
    </row>
    <row r="458" spans="1:21" x14ac:dyDescent="0.3">
      <c r="B458" s="43" t="s">
        <v>118</v>
      </c>
      <c r="C458" s="77">
        <v>0.25</v>
      </c>
      <c r="D458" s="3">
        <v>365.63774261609899</v>
      </c>
      <c r="E458" s="3">
        <v>511.22014340862398</v>
      </c>
      <c r="F458" s="3">
        <v>656.80254420115</v>
      </c>
      <c r="G458" s="3">
        <v>717.20767574161698</v>
      </c>
      <c r="H458" s="3">
        <v>777.61280728208408</v>
      </c>
      <c r="I458" s="3">
        <v>815.04134658719295</v>
      </c>
      <c r="J458" s="3">
        <v>852.46988589230205</v>
      </c>
      <c r="K458" s="3">
        <v>881.78958434359504</v>
      </c>
      <c r="L458" s="3">
        <v>911.10928279488803</v>
      </c>
      <c r="M458" s="3">
        <v>821.18378727128209</v>
      </c>
      <c r="N458" s="3">
        <v>731.25829174767603</v>
      </c>
      <c r="O458" s="3">
        <v>641.71732698046696</v>
      </c>
      <c r="P458" s="3">
        <v>552.17636221325802</v>
      </c>
      <c r="Q458" s="3">
        <v>564.35387201778701</v>
      </c>
      <c r="R458" s="3">
        <v>576.53138182231498</v>
      </c>
      <c r="S458" s="3">
        <v>0</v>
      </c>
      <c r="U458">
        <v>0.36563774261609899</v>
      </c>
    </row>
    <row r="459" spans="1:21" x14ac:dyDescent="0.3">
      <c r="B459" s="43"/>
      <c r="C459" s="77">
        <v>0.75</v>
      </c>
      <c r="D459" s="3">
        <v>4724.0515768603</v>
      </c>
      <c r="E459" s="3">
        <v>7047.7096247809704</v>
      </c>
      <c r="F459" s="3">
        <v>9371.36767270163</v>
      </c>
      <c r="G459" s="3">
        <v>9367.6393681257705</v>
      </c>
      <c r="H459" s="3">
        <v>9363.911063549911</v>
      </c>
      <c r="I459" s="3">
        <v>10281.265878232</v>
      </c>
      <c r="J459" s="3">
        <v>11198.620692914099</v>
      </c>
      <c r="K459" s="3">
        <v>12056.2279211107</v>
      </c>
      <c r="L459" s="3">
        <v>12913.8351493072</v>
      </c>
      <c r="M459" s="3">
        <v>11185.438558813799</v>
      </c>
      <c r="N459" s="3">
        <v>9457.0419683203509</v>
      </c>
      <c r="O459" s="3">
        <v>8119.1980235527199</v>
      </c>
      <c r="P459" s="3">
        <v>6781.3540787850898</v>
      </c>
      <c r="Q459" s="3">
        <v>7028.5736320242304</v>
      </c>
      <c r="R459" s="3">
        <v>7275.7931852633701</v>
      </c>
      <c r="S459" s="3">
        <v>0</v>
      </c>
      <c r="U459">
        <v>4.7240515768603002</v>
      </c>
    </row>
    <row r="460" spans="1:21" x14ac:dyDescent="0.3">
      <c r="B460" s="43"/>
      <c r="C460" s="77">
        <v>1.25</v>
      </c>
      <c r="D460" s="3">
        <v>9082.4654111045093</v>
      </c>
      <c r="E460" s="3">
        <v>13584.199106153299</v>
      </c>
      <c r="F460" s="3">
        <v>18085.932801202103</v>
      </c>
      <c r="G460" s="3">
        <v>18018.071060509901</v>
      </c>
      <c r="H460" s="3">
        <v>17950.209319817699</v>
      </c>
      <c r="I460" s="3">
        <v>19747.490409876798</v>
      </c>
      <c r="J460" s="3">
        <v>21544.771499935901</v>
      </c>
      <c r="K460" s="3">
        <v>23230.6662578777</v>
      </c>
      <c r="L460" s="3">
        <v>24916.561015819501</v>
      </c>
      <c r="M460" s="3">
        <v>21549.693330356298</v>
      </c>
      <c r="N460" s="3">
        <v>18182.825644893001</v>
      </c>
      <c r="O460" s="3">
        <v>15596.678720125001</v>
      </c>
      <c r="P460" s="3">
        <v>13010.531795356901</v>
      </c>
      <c r="Q460" s="3">
        <v>13492.7933920307</v>
      </c>
      <c r="R460" s="3">
        <v>13975.0549887044</v>
      </c>
      <c r="S460" s="3">
        <v>0</v>
      </c>
      <c r="U460">
        <v>9.0824654111045096</v>
      </c>
    </row>
    <row r="461" spans="1:21" x14ac:dyDescent="0.3">
      <c r="B461" s="43"/>
      <c r="C461" s="77">
        <v>1.75</v>
      </c>
      <c r="D461" s="3">
        <v>19617.489842083502</v>
      </c>
      <c r="E461" s="3">
        <v>28460.296932409397</v>
      </c>
      <c r="F461" s="3">
        <v>37303.104022735301</v>
      </c>
      <c r="G461" s="3">
        <v>38909.314928071501</v>
      </c>
      <c r="H461" s="3">
        <v>40515.525833407701</v>
      </c>
      <c r="I461" s="3">
        <v>41323.759851039998</v>
      </c>
      <c r="J461" s="3">
        <v>42131.993868672405</v>
      </c>
      <c r="K461" s="3">
        <v>44546.595573138999</v>
      </c>
      <c r="L461" s="3">
        <v>46961.197277605599</v>
      </c>
      <c r="M461" s="3">
        <v>43219.054620975905</v>
      </c>
      <c r="N461" s="3">
        <v>39476.911964346298</v>
      </c>
      <c r="O461" s="3">
        <v>34758.958192348102</v>
      </c>
      <c r="P461" s="3">
        <v>30041.004420349898</v>
      </c>
      <c r="Q461" s="3">
        <v>27825.1815936364</v>
      </c>
      <c r="R461" s="3">
        <v>25609.3587669228</v>
      </c>
      <c r="S461" s="3">
        <v>0</v>
      </c>
      <c r="U461">
        <v>19.617489842083501</v>
      </c>
    </row>
    <row r="462" spans="1:21" x14ac:dyDescent="0.3">
      <c r="B462" s="43"/>
      <c r="C462" s="77">
        <v>2.25</v>
      </c>
      <c r="D462" s="3">
        <v>30152.514273062599</v>
      </c>
      <c r="E462" s="3">
        <v>43336.3947586656</v>
      </c>
      <c r="F462" s="3">
        <v>56520.275244268603</v>
      </c>
      <c r="G462" s="3">
        <v>59800.5587956331</v>
      </c>
      <c r="H462" s="3">
        <v>63080.842346997597</v>
      </c>
      <c r="I462" s="3">
        <v>62900.029292203202</v>
      </c>
      <c r="J462" s="3">
        <v>62719.2162374088</v>
      </c>
      <c r="K462" s="3">
        <v>65862.524888400207</v>
      </c>
      <c r="L462" s="3">
        <v>69005.833539391708</v>
      </c>
      <c r="M462" s="3">
        <v>64888.415911595599</v>
      </c>
      <c r="N462" s="3">
        <v>60770.998283799498</v>
      </c>
      <c r="O462" s="3">
        <v>53921.237664571199</v>
      </c>
      <c r="P462" s="3">
        <v>47071.477045342901</v>
      </c>
      <c r="Q462" s="3">
        <v>42157.569795242096</v>
      </c>
      <c r="R462" s="3">
        <v>37243.662545141298</v>
      </c>
      <c r="S462" s="3">
        <v>0</v>
      </c>
      <c r="U462">
        <v>30.1525142730626</v>
      </c>
    </row>
    <row r="463" spans="1:21" x14ac:dyDescent="0.3">
      <c r="B463" s="43"/>
      <c r="C463" s="77">
        <v>2.75</v>
      </c>
      <c r="D463" s="3">
        <v>44859.381729770401</v>
      </c>
      <c r="E463" s="3">
        <v>64200.725011483795</v>
      </c>
      <c r="F463" s="3">
        <v>83542.068293197197</v>
      </c>
      <c r="G463" s="3">
        <v>92893.4330805559</v>
      </c>
      <c r="H463" s="3">
        <v>102244.797867915</v>
      </c>
      <c r="I463" s="3">
        <v>100093.758092823</v>
      </c>
      <c r="J463" s="3">
        <v>97942.718317730789</v>
      </c>
      <c r="K463" s="3">
        <v>104123.84180940999</v>
      </c>
      <c r="L463" s="3">
        <v>110304.965301089</v>
      </c>
      <c r="M463" s="3">
        <v>101339.73892721999</v>
      </c>
      <c r="N463" s="3">
        <v>92374.512553350796</v>
      </c>
      <c r="O463" s="3">
        <v>85407.272429585501</v>
      </c>
      <c r="P463" s="3">
        <v>78440.03230582019</v>
      </c>
      <c r="Q463" s="3">
        <v>68768.188165375512</v>
      </c>
      <c r="R463" s="3">
        <v>59096.344024930804</v>
      </c>
      <c r="S463" s="3">
        <v>0</v>
      </c>
      <c r="U463">
        <v>44.859381729770398</v>
      </c>
    </row>
    <row r="464" spans="1:21" x14ac:dyDescent="0.3">
      <c r="B464" s="43"/>
      <c r="C464" s="77">
        <v>3.25</v>
      </c>
      <c r="D464" s="3">
        <v>59566.249186478206</v>
      </c>
      <c r="E464" s="3">
        <v>85065.055264302006</v>
      </c>
      <c r="F464" s="3">
        <v>110563.86134212601</v>
      </c>
      <c r="G464" s="3">
        <v>125986.30736547901</v>
      </c>
      <c r="H464" s="3">
        <v>141408.753388832</v>
      </c>
      <c r="I464" s="3">
        <v>137287.48689344199</v>
      </c>
      <c r="J464" s="3">
        <v>133166.220398053</v>
      </c>
      <c r="K464" s="3">
        <v>142385.15873041999</v>
      </c>
      <c r="L464" s="3">
        <v>151604.09706278698</v>
      </c>
      <c r="M464" s="3">
        <v>137791.06194284401</v>
      </c>
      <c r="N464" s="3">
        <v>123978.026822902</v>
      </c>
      <c r="O464" s="3">
        <v>116893.3071946</v>
      </c>
      <c r="P464" s="3">
        <v>109808.58756629701</v>
      </c>
      <c r="Q464" s="3">
        <v>95378.806535508906</v>
      </c>
      <c r="R464" s="3">
        <v>80949.025504720295</v>
      </c>
      <c r="S464" s="3">
        <v>0</v>
      </c>
      <c r="U464">
        <v>59.566249186478203</v>
      </c>
    </row>
    <row r="465" spans="1:21" x14ac:dyDescent="0.3">
      <c r="B465" s="43"/>
      <c r="C465" s="77">
        <v>3.75</v>
      </c>
      <c r="D465" s="3">
        <v>85059.888906685999</v>
      </c>
      <c r="E465" s="3">
        <v>114983.241286441</v>
      </c>
      <c r="F465" s="3">
        <v>144906.59366619599</v>
      </c>
      <c r="G465" s="3">
        <v>165999.00397660703</v>
      </c>
      <c r="H465" s="3">
        <v>187091.41428701801</v>
      </c>
      <c r="I465" s="3">
        <v>192931.22008319301</v>
      </c>
      <c r="J465" s="3">
        <v>198771.02587936699</v>
      </c>
      <c r="K465" s="3">
        <v>199713.91234835598</v>
      </c>
      <c r="L465" s="3">
        <v>200656.79881734401</v>
      </c>
      <c r="M465" s="3">
        <v>186606.046567524</v>
      </c>
      <c r="N465" s="3">
        <v>172555.294317703</v>
      </c>
      <c r="O465" s="3">
        <v>154205.28339794397</v>
      </c>
      <c r="P465" s="3">
        <v>135855.27247818498</v>
      </c>
      <c r="Q465" s="3">
        <v>117134.81653370001</v>
      </c>
      <c r="R465" s="3">
        <v>98414.360589215299</v>
      </c>
      <c r="S465" s="3">
        <v>0</v>
      </c>
      <c r="U465">
        <v>85.059888906685998</v>
      </c>
    </row>
    <row r="466" spans="1:21" x14ac:dyDescent="0.3">
      <c r="B466" s="43"/>
      <c r="C466" s="77">
        <v>4.25</v>
      </c>
      <c r="D466" s="3">
        <v>110553.52862689401</v>
      </c>
      <c r="E466" s="3">
        <v>144901.42730857999</v>
      </c>
      <c r="F466" s="3">
        <v>179249.32599026701</v>
      </c>
      <c r="G466" s="3">
        <v>206011.70058773598</v>
      </c>
      <c r="H466" s="3">
        <v>232774.075185205</v>
      </c>
      <c r="I466" s="3">
        <v>248574.95327294298</v>
      </c>
      <c r="J466" s="3">
        <v>264375.83136068203</v>
      </c>
      <c r="K466" s="3">
        <v>257042.66596629203</v>
      </c>
      <c r="L466" s="3">
        <v>249709.500571902</v>
      </c>
      <c r="M466" s="3">
        <v>235421.03119220299</v>
      </c>
      <c r="N466" s="3">
        <v>221132.56181250402</v>
      </c>
      <c r="O466" s="3">
        <v>191517.25960128801</v>
      </c>
      <c r="P466" s="3">
        <v>161901.957390072</v>
      </c>
      <c r="Q466" s="3">
        <v>138890.82653189101</v>
      </c>
      <c r="R466" s="3">
        <v>115879.69567371</v>
      </c>
      <c r="S466" s="3">
        <v>0</v>
      </c>
      <c r="U466">
        <v>110.55352862689401</v>
      </c>
    </row>
    <row r="467" spans="1:21" x14ac:dyDescent="0.3">
      <c r="B467" s="43"/>
      <c r="C467" s="77">
        <v>4.75</v>
      </c>
      <c r="D467" s="3">
        <v>138362.10192157098</v>
      </c>
      <c r="E467" s="3">
        <v>184102.26076370903</v>
      </c>
      <c r="F467" s="3">
        <v>229842.41960584599</v>
      </c>
      <c r="G467" s="3">
        <v>263052.32256580499</v>
      </c>
      <c r="H467" s="3">
        <v>296262.22552576294</v>
      </c>
      <c r="I467" s="3">
        <v>316822.36349738704</v>
      </c>
      <c r="J467" s="3">
        <v>337382.50146901101</v>
      </c>
      <c r="K467" s="3">
        <v>323265.19110351597</v>
      </c>
      <c r="L467" s="3">
        <v>309147.88073802204</v>
      </c>
      <c r="M467" s="3">
        <v>302907.03353920602</v>
      </c>
      <c r="N467" s="3">
        <v>296666.18634039001</v>
      </c>
      <c r="O467" s="3">
        <v>249265.50670174099</v>
      </c>
      <c r="P467" s="3">
        <v>201864.827063092</v>
      </c>
      <c r="Q467" s="3">
        <v>185915.42291697901</v>
      </c>
      <c r="R467" s="3">
        <v>169966.01877086598</v>
      </c>
      <c r="S467" s="3">
        <v>0</v>
      </c>
      <c r="U467">
        <v>138.362101921571</v>
      </c>
    </row>
    <row r="468" spans="1:21" x14ac:dyDescent="0.3">
      <c r="B468" s="43"/>
      <c r="C468" s="77">
        <v>5.25</v>
      </c>
      <c r="D468" s="3">
        <v>166170.67521624902</v>
      </c>
      <c r="E468" s="3">
        <v>223303.094218838</v>
      </c>
      <c r="F468" s="3">
        <v>280435.51322142599</v>
      </c>
      <c r="G468" s="3">
        <v>320092.94454387296</v>
      </c>
      <c r="H468" s="3">
        <v>359750.37586632103</v>
      </c>
      <c r="I468" s="3">
        <v>385069.77372183098</v>
      </c>
      <c r="J468" s="3">
        <v>410389.17157733999</v>
      </c>
      <c r="K468" s="3">
        <v>389487.71624074102</v>
      </c>
      <c r="L468" s="3">
        <v>368586.26090414205</v>
      </c>
      <c r="M468" s="3">
        <v>370393.03588620899</v>
      </c>
      <c r="N468" s="3">
        <v>372199.81086827698</v>
      </c>
      <c r="O468" s="3">
        <v>307013.75380219403</v>
      </c>
      <c r="P468" s="3">
        <v>241827.69673611099</v>
      </c>
      <c r="Q468" s="3">
        <v>232940.01930206598</v>
      </c>
      <c r="R468" s="3">
        <v>224052.341868021</v>
      </c>
      <c r="S468" s="3">
        <v>0</v>
      </c>
      <c r="U468">
        <v>166.17067521624901</v>
      </c>
    </row>
    <row r="469" spans="1:21" x14ac:dyDescent="0.3">
      <c r="B469" s="43"/>
      <c r="C469" s="77">
        <v>5.75</v>
      </c>
      <c r="D469" s="3">
        <v>212920.265439257</v>
      </c>
      <c r="E469" s="3">
        <v>275112.09800270305</v>
      </c>
      <c r="F469" s="3">
        <v>337303.93056614901</v>
      </c>
      <c r="G469" s="3">
        <v>391934.801978392</v>
      </c>
      <c r="H469" s="3">
        <v>446565.673390635</v>
      </c>
      <c r="I469" s="3">
        <v>484927.56658209098</v>
      </c>
      <c r="J469" s="3">
        <v>523289.45977354603</v>
      </c>
      <c r="K469" s="3">
        <v>482591.111537049</v>
      </c>
      <c r="L469" s="3">
        <v>441892.76330055203</v>
      </c>
      <c r="M469" s="3">
        <v>448757.02946111001</v>
      </c>
      <c r="N469" s="3">
        <v>455621.295621667</v>
      </c>
      <c r="O469" s="3">
        <v>383966.501826794</v>
      </c>
      <c r="P469" s="3">
        <v>312311.708031922</v>
      </c>
      <c r="Q469" s="3">
        <v>286180.42227046803</v>
      </c>
      <c r="R469" s="3">
        <v>260049.13650901397</v>
      </c>
      <c r="S469" s="3">
        <v>0</v>
      </c>
      <c r="U469">
        <v>212.92026543925701</v>
      </c>
    </row>
    <row r="470" spans="1:21" x14ac:dyDescent="0.3">
      <c r="B470" s="43"/>
      <c r="C470" s="77">
        <v>6.25</v>
      </c>
      <c r="D470" s="3">
        <v>259669.85566226402</v>
      </c>
      <c r="E470" s="3">
        <v>326921.101786568</v>
      </c>
      <c r="F470" s="3">
        <v>394172.34791087301</v>
      </c>
      <c r="G470" s="3">
        <v>463776.65941291099</v>
      </c>
      <c r="H470" s="3">
        <v>533380.97091494896</v>
      </c>
      <c r="I470" s="3">
        <v>584785.35944235104</v>
      </c>
      <c r="J470" s="3">
        <v>636189.74796975206</v>
      </c>
      <c r="K470" s="3">
        <v>575694.50683335692</v>
      </c>
      <c r="L470" s="3">
        <v>515199.26569696201</v>
      </c>
      <c r="M470" s="3">
        <v>527121.02303600998</v>
      </c>
      <c r="N470" s="3">
        <v>539042.78037505702</v>
      </c>
      <c r="O470" s="3">
        <v>460919.24985139503</v>
      </c>
      <c r="P470" s="3">
        <v>382795.71932773304</v>
      </c>
      <c r="Q470" s="3">
        <v>339420.82523886999</v>
      </c>
      <c r="R470" s="3">
        <v>296045.93115000799</v>
      </c>
      <c r="S470" s="3">
        <v>0</v>
      </c>
      <c r="U470">
        <v>259.66985566226401</v>
      </c>
    </row>
    <row r="471" spans="1:21" x14ac:dyDescent="0.3">
      <c r="B471" s="43"/>
      <c r="C471" s="77">
        <v>6.75</v>
      </c>
      <c r="D471" s="3">
        <v>259669.85566226402</v>
      </c>
      <c r="E471" s="3">
        <v>326921.101786568</v>
      </c>
      <c r="F471" s="3">
        <v>394172.34791087301</v>
      </c>
      <c r="G471" s="3">
        <v>463776.65941291099</v>
      </c>
      <c r="H471" s="3">
        <v>533380.97091494896</v>
      </c>
      <c r="I471" s="3">
        <v>584785.35944235104</v>
      </c>
      <c r="J471" s="3">
        <v>636189.74796975206</v>
      </c>
      <c r="K471" s="3">
        <v>575694.50683335692</v>
      </c>
      <c r="L471" s="3">
        <v>515199.26569696201</v>
      </c>
      <c r="M471" s="3">
        <v>527121.02303600998</v>
      </c>
      <c r="N471" s="3">
        <v>539042.78037505702</v>
      </c>
      <c r="O471" s="3">
        <v>460919.24985139503</v>
      </c>
      <c r="P471" s="3">
        <v>382795.71932773304</v>
      </c>
      <c r="Q471" s="3">
        <v>339420.82523886999</v>
      </c>
      <c r="R471" s="3">
        <v>296045.93115000799</v>
      </c>
      <c r="S471" s="3">
        <v>0</v>
      </c>
    </row>
    <row r="472" spans="1:21" x14ac:dyDescent="0.3">
      <c r="B472" s="43"/>
      <c r="C472" s="77">
        <v>7.25</v>
      </c>
      <c r="D472" s="3">
        <v>259669.85566226402</v>
      </c>
      <c r="E472" s="3">
        <v>326921.101786568</v>
      </c>
      <c r="F472" s="3">
        <v>394172.34791087301</v>
      </c>
      <c r="G472" s="3">
        <v>463776.65941291099</v>
      </c>
      <c r="H472" s="3">
        <v>533380.97091494896</v>
      </c>
      <c r="I472" s="3">
        <v>584785.35944235104</v>
      </c>
      <c r="J472" s="3">
        <v>636189.74796975206</v>
      </c>
      <c r="K472" s="3">
        <v>575694.50683335692</v>
      </c>
      <c r="L472" s="3">
        <v>515199.26569696201</v>
      </c>
      <c r="M472" s="3">
        <v>527121.02303600998</v>
      </c>
      <c r="N472" s="3">
        <v>539042.78037505702</v>
      </c>
      <c r="O472" s="3">
        <v>460919.24985139503</v>
      </c>
      <c r="P472" s="3">
        <v>382795.71932773304</v>
      </c>
      <c r="Q472" s="3">
        <v>339420.82523886999</v>
      </c>
      <c r="R472" s="3">
        <v>296045.93115000799</v>
      </c>
      <c r="S472" s="3">
        <v>0</v>
      </c>
    </row>
    <row r="473" spans="1:21" x14ac:dyDescent="0.3">
      <c r="B473" s="43"/>
      <c r="C473" s="77">
        <v>7.75</v>
      </c>
      <c r="D473" s="3">
        <v>259669.85566226402</v>
      </c>
      <c r="E473" s="3">
        <v>326921.101786568</v>
      </c>
      <c r="F473" s="3">
        <v>394172.34791087301</v>
      </c>
      <c r="G473" s="3">
        <v>463776.65941291099</v>
      </c>
      <c r="H473" s="3">
        <v>533380.97091494896</v>
      </c>
      <c r="I473" s="3">
        <v>584785.35944235104</v>
      </c>
      <c r="J473" s="3">
        <v>636189.74796975206</v>
      </c>
      <c r="K473" s="3">
        <v>575694.50683335692</v>
      </c>
      <c r="L473" s="3">
        <v>515199.26569696201</v>
      </c>
      <c r="M473" s="3">
        <v>527121.02303600998</v>
      </c>
      <c r="N473" s="3">
        <v>539042.78037505702</v>
      </c>
      <c r="O473" s="3">
        <v>460919.24985139503</v>
      </c>
      <c r="P473" s="3">
        <v>382795.71932773304</v>
      </c>
      <c r="Q473" s="3">
        <v>339420.82523886999</v>
      </c>
      <c r="R473" s="3">
        <v>296045.93115000799</v>
      </c>
      <c r="S473" s="3">
        <v>0</v>
      </c>
    </row>
    <row r="474" spans="1:21" x14ac:dyDescent="0.3">
      <c r="B474" s="43"/>
      <c r="C474" s="77">
        <v>8.25</v>
      </c>
      <c r="D474" s="3">
        <v>259669.85566226402</v>
      </c>
      <c r="E474" s="3">
        <v>326921.101786568</v>
      </c>
      <c r="F474" s="3">
        <v>394172.34791087301</v>
      </c>
      <c r="G474" s="3">
        <v>463776.65941291099</v>
      </c>
      <c r="H474" s="3">
        <v>533380.97091494896</v>
      </c>
      <c r="I474" s="3">
        <v>584785.35944235104</v>
      </c>
      <c r="J474" s="3">
        <v>636189.74796975206</v>
      </c>
      <c r="K474" s="3">
        <v>575694.50683335692</v>
      </c>
      <c r="L474" s="3">
        <v>515199.26569696201</v>
      </c>
      <c r="M474" s="3">
        <v>527121.02303600998</v>
      </c>
      <c r="N474" s="3">
        <v>539042.78037505702</v>
      </c>
      <c r="O474" s="3">
        <v>460919.24985139503</v>
      </c>
      <c r="P474" s="3">
        <v>382795.71932773304</v>
      </c>
      <c r="Q474" s="3">
        <v>339420.82523886999</v>
      </c>
      <c r="R474" s="3">
        <v>296045.93115000799</v>
      </c>
      <c r="S474" s="3">
        <v>0</v>
      </c>
    </row>
    <row r="475" spans="1:21" x14ac:dyDescent="0.3">
      <c r="B475" s="43"/>
      <c r="C475" s="77">
        <v>8.75</v>
      </c>
      <c r="D475" s="3">
        <v>259669.85566226402</v>
      </c>
      <c r="E475" s="3">
        <v>326921.101786568</v>
      </c>
      <c r="F475" s="3">
        <v>394172.34791087301</v>
      </c>
      <c r="G475" s="3">
        <v>463776.65941291099</v>
      </c>
      <c r="H475" s="3">
        <v>533380.97091494896</v>
      </c>
      <c r="I475" s="3">
        <v>584785.35944235104</v>
      </c>
      <c r="J475" s="3">
        <v>636189.74796975206</v>
      </c>
      <c r="K475" s="3">
        <v>575694.50683335692</v>
      </c>
      <c r="L475" s="3">
        <v>515199.26569696201</v>
      </c>
      <c r="M475" s="3">
        <v>527121.02303600998</v>
      </c>
      <c r="N475" s="3">
        <v>539042.78037505702</v>
      </c>
      <c r="O475" s="3">
        <v>460919.24985139503</v>
      </c>
      <c r="P475" s="3">
        <v>382795.71932773304</v>
      </c>
      <c r="Q475" s="3">
        <v>339420.82523886999</v>
      </c>
      <c r="R475" s="3">
        <v>296045.93115000799</v>
      </c>
      <c r="S475" s="3">
        <v>0</v>
      </c>
    </row>
    <row r="476" spans="1:21" x14ac:dyDescent="0.3">
      <c r="B476" s="43"/>
      <c r="C476" s="77">
        <v>9.25</v>
      </c>
      <c r="D476" s="3">
        <v>259669.85566226402</v>
      </c>
      <c r="E476" s="3">
        <v>326921.101786568</v>
      </c>
      <c r="F476" s="3">
        <v>394172.34791087301</v>
      </c>
      <c r="G476" s="3">
        <v>463776.65941291099</v>
      </c>
      <c r="H476" s="3">
        <v>533380.97091494896</v>
      </c>
      <c r="I476" s="3">
        <v>584785.35944235104</v>
      </c>
      <c r="J476" s="3">
        <v>636189.74796975206</v>
      </c>
      <c r="K476" s="3">
        <v>575694.50683335692</v>
      </c>
      <c r="L476" s="3">
        <v>515199.26569696201</v>
      </c>
      <c r="M476" s="3">
        <v>527121.02303600998</v>
      </c>
      <c r="N476" s="3">
        <v>539042.78037505702</v>
      </c>
      <c r="O476" s="3">
        <v>460919.24985139503</v>
      </c>
      <c r="P476" s="3">
        <v>382795.71932773304</v>
      </c>
      <c r="Q476" s="3">
        <v>339420.82523886999</v>
      </c>
      <c r="R476" s="3">
        <v>296045.93115000799</v>
      </c>
      <c r="S476" s="3">
        <v>0</v>
      </c>
    </row>
    <row r="477" spans="1:21" x14ac:dyDescent="0.3">
      <c r="B477" s="43"/>
      <c r="C477" s="77">
        <v>9.75</v>
      </c>
      <c r="D477" s="3">
        <v>259669.85566226402</v>
      </c>
      <c r="E477" s="3">
        <v>326921.101786568</v>
      </c>
      <c r="F477" s="3">
        <v>394172.34791087301</v>
      </c>
      <c r="G477" s="3">
        <v>463776.65941291099</v>
      </c>
      <c r="H477" s="3">
        <v>533380.97091494896</v>
      </c>
      <c r="I477" s="3">
        <v>584785.35944235104</v>
      </c>
      <c r="J477" s="3">
        <v>636189.74796975206</v>
      </c>
      <c r="K477" s="3">
        <v>575694.50683335692</v>
      </c>
      <c r="L477" s="3">
        <v>515199.26569696201</v>
      </c>
      <c r="M477" s="3">
        <v>527121.02303600998</v>
      </c>
      <c r="N477" s="3">
        <v>539042.78037505702</v>
      </c>
      <c r="O477" s="3">
        <v>460919.24985139503</v>
      </c>
      <c r="P477" s="3">
        <v>382795.71932773304</v>
      </c>
      <c r="Q477" s="3">
        <v>339420.82523886999</v>
      </c>
      <c r="R477" s="3">
        <v>296045.93115000799</v>
      </c>
      <c r="S477" s="3">
        <v>0</v>
      </c>
    </row>
    <row r="479" spans="1:21" x14ac:dyDescent="0.3">
      <c r="A479">
        <v>14</v>
      </c>
      <c r="B479" s="110"/>
    </row>
    <row r="480" spans="1:21" x14ac:dyDescent="0.3">
      <c r="A480" s="45" t="s">
        <v>89</v>
      </c>
      <c r="B480" s="43"/>
    </row>
    <row r="481" spans="1:21" x14ac:dyDescent="0.3">
      <c r="A481" s="43"/>
      <c r="B481" s="43" t="s">
        <v>91</v>
      </c>
      <c r="D481">
        <v>24</v>
      </c>
      <c r="E481" t="s">
        <v>4</v>
      </c>
    </row>
    <row r="482" spans="1:21" x14ac:dyDescent="0.3">
      <c r="A482" s="43"/>
      <c r="B482" s="43" t="s">
        <v>93</v>
      </c>
      <c r="D482">
        <v>5.3</v>
      </c>
      <c r="E482" t="s">
        <v>4</v>
      </c>
    </row>
    <row r="483" spans="1:21" x14ac:dyDescent="0.3">
      <c r="A483" s="43"/>
      <c r="B483" s="43" t="s">
        <v>124</v>
      </c>
      <c r="D483" s="6">
        <f>(D481/2)^2*PI()*D482</f>
        <v>2397.6635132197302</v>
      </c>
      <c r="E483" t="s">
        <v>5</v>
      </c>
    </row>
    <row r="484" spans="1:21" x14ac:dyDescent="0.3">
      <c r="A484" s="43"/>
      <c r="B484" s="43" t="s">
        <v>12</v>
      </c>
      <c r="D484">
        <v>0</v>
      </c>
      <c r="E484" t="s">
        <v>125</v>
      </c>
    </row>
    <row r="485" spans="1:21" x14ac:dyDescent="0.3">
      <c r="A485" s="43"/>
      <c r="B485" s="43" t="s">
        <v>126</v>
      </c>
      <c r="D485">
        <v>0.1</v>
      </c>
    </row>
    <row r="486" spans="1:21" x14ac:dyDescent="0.3">
      <c r="B486" s="43" t="s">
        <v>127</v>
      </c>
      <c r="D486">
        <v>0.1</v>
      </c>
    </row>
    <row r="487" spans="1:21" x14ac:dyDescent="0.3">
      <c r="B487" s="43" t="s">
        <v>145</v>
      </c>
      <c r="D487">
        <v>1</v>
      </c>
    </row>
    <row r="489" spans="1:21" x14ac:dyDescent="0.3">
      <c r="A489" s="7" t="s">
        <v>18</v>
      </c>
    </row>
    <row r="490" spans="1:21" x14ac:dyDescent="0.3">
      <c r="B490" s="43"/>
      <c r="C490" s="43"/>
      <c r="D490" s="43" t="s">
        <v>117</v>
      </c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</row>
    <row r="491" spans="1:21" x14ac:dyDescent="0.3">
      <c r="B491" s="43"/>
      <c r="C491" s="75"/>
      <c r="D491" s="76">
        <v>4.5</v>
      </c>
      <c r="E491" s="76">
        <v>5.5</v>
      </c>
      <c r="F491" s="76">
        <v>6.5</v>
      </c>
      <c r="G491" s="76">
        <v>7.5</v>
      </c>
      <c r="H491" s="76">
        <v>8.5</v>
      </c>
      <c r="I491" s="76">
        <v>9.5</v>
      </c>
      <c r="J491" s="76">
        <v>10.5</v>
      </c>
      <c r="K491" s="76">
        <v>11.5</v>
      </c>
      <c r="L491" s="76">
        <v>12.5</v>
      </c>
      <c r="M491" s="76">
        <v>13.5</v>
      </c>
      <c r="N491" s="76">
        <v>14.5</v>
      </c>
      <c r="O491" s="76">
        <v>15.5</v>
      </c>
      <c r="P491" s="76">
        <v>16.5</v>
      </c>
      <c r="Q491" s="76">
        <v>17.5</v>
      </c>
      <c r="R491" s="76">
        <v>18.5</v>
      </c>
      <c r="S491" s="76">
        <v>19.5</v>
      </c>
    </row>
    <row r="492" spans="1:21" x14ac:dyDescent="0.3">
      <c r="B492" s="43" t="s">
        <v>118</v>
      </c>
      <c r="C492" s="77">
        <v>0.25</v>
      </c>
      <c r="D492" s="3">
        <v>362.40945463198301</v>
      </c>
      <c r="E492" s="3">
        <v>866.53332321700304</v>
      </c>
      <c r="F492" s="3">
        <v>1370.65719180202</v>
      </c>
      <c r="G492" s="3">
        <v>1656.3133171746799</v>
      </c>
      <c r="H492" s="3">
        <v>1941.9694425473399</v>
      </c>
      <c r="I492" s="3">
        <v>2053.0272519978698</v>
      </c>
      <c r="J492" s="3">
        <v>2164.0850614483898</v>
      </c>
      <c r="K492" s="3">
        <v>2100.0261044254598</v>
      </c>
      <c r="L492" s="3">
        <v>2035.9671474025301</v>
      </c>
      <c r="M492" s="3">
        <v>1957.3575579836599</v>
      </c>
      <c r="N492" s="3">
        <v>1878.7479685647902</v>
      </c>
      <c r="O492" s="3">
        <v>1766.9903309860299</v>
      </c>
      <c r="P492" s="3">
        <v>1655.2326934072701</v>
      </c>
      <c r="Q492" s="3">
        <v>1473.3733281954999</v>
      </c>
      <c r="R492" s="3">
        <v>1291.5139629837299</v>
      </c>
      <c r="S492" s="3">
        <v>0</v>
      </c>
      <c r="U492">
        <v>0.36240945463198299</v>
      </c>
    </row>
    <row r="493" spans="1:21" x14ac:dyDescent="0.3">
      <c r="B493" s="43"/>
      <c r="C493" s="77">
        <v>0.75</v>
      </c>
      <c r="D493" s="3">
        <v>4320.2781897572504</v>
      </c>
      <c r="E493" s="3">
        <v>12519.368537033601</v>
      </c>
      <c r="F493" s="3">
        <v>20718.458884309901</v>
      </c>
      <c r="G493" s="3">
        <v>22186.953549144502</v>
      </c>
      <c r="H493" s="3">
        <v>23655.4482139791</v>
      </c>
      <c r="I493" s="3">
        <v>26395.6504711938</v>
      </c>
      <c r="J493" s="3">
        <v>29135.852728408503</v>
      </c>
      <c r="K493" s="3">
        <v>28368.109589641103</v>
      </c>
      <c r="L493" s="3">
        <v>27600.3664508738</v>
      </c>
      <c r="M493" s="3">
        <v>26073.0048738232</v>
      </c>
      <c r="N493" s="3">
        <v>24545.643296772501</v>
      </c>
      <c r="O493" s="3">
        <v>22712.865023296501</v>
      </c>
      <c r="P493" s="3">
        <v>20880.086749820399</v>
      </c>
      <c r="Q493" s="3">
        <v>17322.2994910774</v>
      </c>
      <c r="R493" s="3">
        <v>13764.512232334298</v>
      </c>
      <c r="S493" s="3">
        <v>0</v>
      </c>
      <c r="U493">
        <v>4.32027818975725</v>
      </c>
    </row>
    <row r="494" spans="1:21" x14ac:dyDescent="0.3">
      <c r="B494" s="43"/>
      <c r="C494" s="77">
        <v>1.25</v>
      </c>
      <c r="D494" s="3">
        <v>8278.1469248825197</v>
      </c>
      <c r="E494" s="3">
        <v>24172.203750850102</v>
      </c>
      <c r="F494" s="3">
        <v>40066.260576817796</v>
      </c>
      <c r="G494" s="3">
        <v>42717.593781114301</v>
      </c>
      <c r="H494" s="3">
        <v>45368.926985410901</v>
      </c>
      <c r="I494" s="3">
        <v>50738.273690389695</v>
      </c>
      <c r="J494" s="3">
        <v>56107.620395368496</v>
      </c>
      <c r="K494" s="3">
        <v>54636.193074856797</v>
      </c>
      <c r="L494" s="3">
        <v>53164.765754345099</v>
      </c>
      <c r="M494" s="3">
        <v>50188.652189662695</v>
      </c>
      <c r="N494" s="3">
        <v>47212.538624980298</v>
      </c>
      <c r="O494" s="3">
        <v>43658.739715606898</v>
      </c>
      <c r="P494" s="3">
        <v>40104.940806233499</v>
      </c>
      <c r="Q494" s="3">
        <v>33171.225653959198</v>
      </c>
      <c r="R494" s="3">
        <v>26237.510501684897</v>
      </c>
      <c r="S494" s="3">
        <v>0</v>
      </c>
      <c r="U494">
        <v>8.2781469248825204</v>
      </c>
    </row>
    <row r="495" spans="1:21" x14ac:dyDescent="0.3">
      <c r="B495" s="43"/>
      <c r="C495" s="77">
        <v>1.75</v>
      </c>
      <c r="D495" s="3">
        <v>19762.3741013566</v>
      </c>
      <c r="E495" s="3">
        <v>45822.574563218404</v>
      </c>
      <c r="F495" s="3">
        <v>71882.775025080206</v>
      </c>
      <c r="G495" s="3">
        <v>89715.730390991695</v>
      </c>
      <c r="H495" s="3">
        <v>107548.685756903</v>
      </c>
      <c r="I495" s="3">
        <v>117320.562686987</v>
      </c>
      <c r="J495" s="3">
        <v>127092.439617071</v>
      </c>
      <c r="K495" s="3">
        <v>123187.33723699</v>
      </c>
      <c r="L495" s="3">
        <v>119282.23485691</v>
      </c>
      <c r="M495" s="3">
        <v>114419.19633630199</v>
      </c>
      <c r="N495" s="3">
        <v>109556.157815695</v>
      </c>
      <c r="O495" s="3">
        <v>96105.094694116109</v>
      </c>
      <c r="P495" s="3">
        <v>82654.031572536798</v>
      </c>
      <c r="Q495" s="3">
        <v>70189.728505360414</v>
      </c>
      <c r="R495" s="3">
        <v>57725.425438184</v>
      </c>
      <c r="S495" s="3">
        <v>0</v>
      </c>
      <c r="U495">
        <v>19.762374101356599</v>
      </c>
    </row>
    <row r="496" spans="1:21" x14ac:dyDescent="0.3">
      <c r="B496" s="43"/>
      <c r="C496" s="77">
        <v>2.25</v>
      </c>
      <c r="D496" s="3">
        <v>31246.601277830698</v>
      </c>
      <c r="E496" s="3">
        <v>67472.9453755867</v>
      </c>
      <c r="F496" s="3">
        <v>103699.289473343</v>
      </c>
      <c r="G496" s="3">
        <v>136713.86700086898</v>
      </c>
      <c r="H496" s="3">
        <v>169728.44452839499</v>
      </c>
      <c r="I496" s="3">
        <v>183902.85168358401</v>
      </c>
      <c r="J496" s="3">
        <v>198077.25883877298</v>
      </c>
      <c r="K496" s="3">
        <v>191738.481399123</v>
      </c>
      <c r="L496" s="3">
        <v>185399.70395947402</v>
      </c>
      <c r="M496" s="3">
        <v>178649.740482942</v>
      </c>
      <c r="N496" s="3">
        <v>171899.77700641</v>
      </c>
      <c r="O496" s="3">
        <v>148551.44967262502</v>
      </c>
      <c r="P496" s="3">
        <v>125203.12233884001</v>
      </c>
      <c r="Q496" s="3">
        <v>107208.231356762</v>
      </c>
      <c r="R496" s="3">
        <v>89213.340374683103</v>
      </c>
      <c r="S496" s="3">
        <v>0</v>
      </c>
      <c r="U496">
        <v>31.246601277830699</v>
      </c>
    </row>
    <row r="497" spans="2:21" x14ac:dyDescent="0.3">
      <c r="B497" s="43"/>
      <c r="C497" s="77">
        <v>2.75</v>
      </c>
      <c r="D497" s="3">
        <v>43656.021141272198</v>
      </c>
      <c r="E497" s="3">
        <v>109432.613989904</v>
      </c>
      <c r="F497" s="3">
        <v>175209.20683853602</v>
      </c>
      <c r="G497" s="3">
        <v>215729.22784673999</v>
      </c>
      <c r="H497" s="3">
        <v>256249.24885494501</v>
      </c>
      <c r="I497" s="3">
        <v>277649.87613075197</v>
      </c>
      <c r="J497" s="3">
        <v>299050.50340655999</v>
      </c>
      <c r="K497" s="3">
        <v>284456.88380816497</v>
      </c>
      <c r="L497" s="3">
        <v>269863.26420977002</v>
      </c>
      <c r="M497" s="3">
        <v>245194.54487998702</v>
      </c>
      <c r="N497" s="3">
        <v>220525.82555020301</v>
      </c>
      <c r="O497" s="3">
        <v>203329.05252622001</v>
      </c>
      <c r="P497" s="3">
        <v>186132.27950223599</v>
      </c>
      <c r="Q497" s="3">
        <v>157451.82512740602</v>
      </c>
      <c r="R497" s="3">
        <v>128771.37075257702</v>
      </c>
      <c r="S497" s="3">
        <v>0</v>
      </c>
      <c r="U497">
        <v>43.656021141272198</v>
      </c>
    </row>
    <row r="498" spans="2:21" x14ac:dyDescent="0.3">
      <c r="B498" s="43"/>
      <c r="C498" s="77">
        <v>3.25</v>
      </c>
      <c r="D498" s="3">
        <v>56065.441004713699</v>
      </c>
      <c r="E498" s="3">
        <v>151392.28260422201</v>
      </c>
      <c r="F498" s="3">
        <v>246719.12420373</v>
      </c>
      <c r="G498" s="3">
        <v>294744.58869261201</v>
      </c>
      <c r="H498" s="3">
        <v>342770.053181494</v>
      </c>
      <c r="I498" s="3">
        <v>371396.90057792095</v>
      </c>
      <c r="J498" s="3">
        <v>400023.74797434802</v>
      </c>
      <c r="K498" s="3">
        <v>377175.28621720697</v>
      </c>
      <c r="L498" s="3">
        <v>354326.82446006697</v>
      </c>
      <c r="M498" s="3">
        <v>311739.34927703196</v>
      </c>
      <c r="N498" s="3">
        <v>269151.87409399601</v>
      </c>
      <c r="O498" s="3">
        <v>258106.65537981401</v>
      </c>
      <c r="P498" s="3">
        <v>247061.43666563099</v>
      </c>
      <c r="Q498" s="3">
        <v>207695.41889805099</v>
      </c>
      <c r="R498" s="3">
        <v>168329.40113046998</v>
      </c>
      <c r="S498" s="3">
        <v>0</v>
      </c>
      <c r="U498">
        <v>56.065441004713698</v>
      </c>
    </row>
    <row r="499" spans="2:21" x14ac:dyDescent="0.3">
      <c r="B499" s="43"/>
      <c r="C499" s="77">
        <v>3.75</v>
      </c>
      <c r="D499" s="3">
        <v>78431.740746194002</v>
      </c>
      <c r="E499" s="3">
        <v>201305.04255748598</v>
      </c>
      <c r="F499" s="3">
        <v>324178.34436877898</v>
      </c>
      <c r="G499" s="3">
        <v>384008.29882172402</v>
      </c>
      <c r="H499" s="3">
        <v>443838.253274669</v>
      </c>
      <c r="I499" s="3">
        <v>468694.05454329401</v>
      </c>
      <c r="J499" s="3">
        <v>493549.85581191897</v>
      </c>
      <c r="K499" s="3">
        <v>512295.30866612197</v>
      </c>
      <c r="L499" s="3">
        <v>531040.76152032497</v>
      </c>
      <c r="M499" s="3">
        <v>478920.62191408797</v>
      </c>
      <c r="N499" s="3">
        <v>426800.48230785097</v>
      </c>
      <c r="O499" s="3">
        <v>392069.65408343001</v>
      </c>
      <c r="P499" s="3">
        <v>357338.825859009</v>
      </c>
      <c r="Q499" s="3">
        <v>313413.52814257098</v>
      </c>
      <c r="R499" s="3">
        <v>269488.23042613402</v>
      </c>
      <c r="S499" s="3">
        <v>0</v>
      </c>
      <c r="U499">
        <v>78.431740746193995</v>
      </c>
    </row>
    <row r="500" spans="2:21" x14ac:dyDescent="0.3">
      <c r="B500" s="43"/>
      <c r="C500" s="77">
        <v>4.25</v>
      </c>
      <c r="D500" s="3">
        <v>100798.04048767401</v>
      </c>
      <c r="E500" s="3">
        <v>251217.802510751</v>
      </c>
      <c r="F500" s="3">
        <v>401637.56453382701</v>
      </c>
      <c r="G500" s="3">
        <v>473272.00895083597</v>
      </c>
      <c r="H500" s="3">
        <v>544906.45336784411</v>
      </c>
      <c r="I500" s="3">
        <v>565991.208508668</v>
      </c>
      <c r="J500" s="3">
        <v>587075.96364949096</v>
      </c>
      <c r="K500" s="3">
        <v>647415.33111503697</v>
      </c>
      <c r="L500" s="3">
        <v>707754.69858058298</v>
      </c>
      <c r="M500" s="3">
        <v>646101.89455114503</v>
      </c>
      <c r="N500" s="3">
        <v>584449.09052170604</v>
      </c>
      <c r="O500" s="3">
        <v>526032.65278704604</v>
      </c>
      <c r="P500" s="3">
        <v>467616.21505238599</v>
      </c>
      <c r="Q500" s="3">
        <v>419131.63738709199</v>
      </c>
      <c r="R500" s="3">
        <v>370647.05972179701</v>
      </c>
      <c r="S500" s="3">
        <v>0</v>
      </c>
      <c r="U500">
        <v>100.798040487674</v>
      </c>
    </row>
    <row r="501" spans="2:21" x14ac:dyDescent="0.3">
      <c r="B501" s="43"/>
      <c r="C501" s="77">
        <v>4.75</v>
      </c>
      <c r="D501" s="3">
        <v>132790.64511592599</v>
      </c>
      <c r="E501" s="3">
        <v>317012.901478021</v>
      </c>
      <c r="F501" s="3">
        <v>501235.15784011601</v>
      </c>
      <c r="G501" s="3">
        <v>571459.96077229991</v>
      </c>
      <c r="H501" s="3">
        <v>641684.76370448503</v>
      </c>
      <c r="I501" s="3">
        <v>687102.48410610599</v>
      </c>
      <c r="J501" s="3">
        <v>732520.20450772706</v>
      </c>
      <c r="K501" s="3">
        <v>782932.30251081497</v>
      </c>
      <c r="L501" s="3">
        <v>833344.40051390405</v>
      </c>
      <c r="M501" s="3">
        <v>796805.0375460271</v>
      </c>
      <c r="N501" s="3">
        <v>760265.67457815097</v>
      </c>
      <c r="O501" s="3">
        <v>676412.36869784992</v>
      </c>
      <c r="P501" s="3">
        <v>592559.06281754992</v>
      </c>
      <c r="Q501" s="3">
        <v>527277.0132086419</v>
      </c>
      <c r="R501" s="3">
        <v>461994.96359973395</v>
      </c>
      <c r="S501" s="3">
        <v>0</v>
      </c>
      <c r="U501">
        <v>132.790645115926</v>
      </c>
    </row>
    <row r="502" spans="2:21" x14ac:dyDescent="0.3">
      <c r="B502" s="43"/>
      <c r="C502" s="77">
        <v>5.25</v>
      </c>
      <c r="D502" s="3">
        <v>164783.24974417701</v>
      </c>
      <c r="E502" s="3">
        <v>382808.00044529099</v>
      </c>
      <c r="F502" s="3">
        <v>600832.751146405</v>
      </c>
      <c r="G502" s="3">
        <v>669647.91259376495</v>
      </c>
      <c r="H502" s="3">
        <v>738463.07404112502</v>
      </c>
      <c r="I502" s="3">
        <v>808213.75970354408</v>
      </c>
      <c r="J502" s="3">
        <v>877964.44536596397</v>
      </c>
      <c r="K502" s="3">
        <v>918449.27390659403</v>
      </c>
      <c r="L502" s="3">
        <v>958934.10244722397</v>
      </c>
      <c r="M502" s="3">
        <v>947508.18054090999</v>
      </c>
      <c r="N502" s="3">
        <v>936082.25863459497</v>
      </c>
      <c r="O502" s="3">
        <v>826792.08460865507</v>
      </c>
      <c r="P502" s="3">
        <v>717501.91058271402</v>
      </c>
      <c r="Q502" s="3">
        <v>635422.38903019205</v>
      </c>
      <c r="R502" s="3">
        <v>553342.86747766996</v>
      </c>
      <c r="S502" s="3">
        <v>0</v>
      </c>
      <c r="U502">
        <v>164.783249744177</v>
      </c>
    </row>
    <row r="503" spans="2:21" x14ac:dyDescent="0.3">
      <c r="B503" s="43"/>
      <c r="C503" s="77">
        <v>5.75</v>
      </c>
      <c r="D503" s="3">
        <v>189673.69817568999</v>
      </c>
      <c r="E503" s="3">
        <v>452821.94795870798</v>
      </c>
      <c r="F503" s="3">
        <v>715970.19774172595</v>
      </c>
      <c r="G503" s="3">
        <v>856586.29545488104</v>
      </c>
      <c r="H503" s="3">
        <v>997202.39316803706</v>
      </c>
      <c r="I503" s="3">
        <v>1017613.92816283</v>
      </c>
      <c r="J503" s="3">
        <v>1038025.4631576299</v>
      </c>
      <c r="K503" s="3">
        <v>1164198.2642411799</v>
      </c>
      <c r="L503" s="3">
        <v>1290371.06532473</v>
      </c>
      <c r="M503" s="3">
        <v>1188289.3500429101</v>
      </c>
      <c r="N503" s="3">
        <v>1086207.6347610902</v>
      </c>
      <c r="O503" s="3">
        <v>949765.18970356009</v>
      </c>
      <c r="P503" s="3">
        <v>813322.74464603094</v>
      </c>
      <c r="Q503" s="3">
        <v>726391.81469896901</v>
      </c>
      <c r="R503" s="3">
        <v>639460.88475190697</v>
      </c>
      <c r="S503" s="3">
        <v>0</v>
      </c>
      <c r="U503">
        <v>189.67369817568999</v>
      </c>
    </row>
    <row r="504" spans="2:21" x14ac:dyDescent="0.3">
      <c r="B504" s="43"/>
      <c r="C504" s="77">
        <v>6.25</v>
      </c>
      <c r="D504" s="3">
        <v>214564.14660720402</v>
      </c>
      <c r="E504" s="3">
        <v>522835.89547212602</v>
      </c>
      <c r="F504" s="3">
        <v>831107.64433704701</v>
      </c>
      <c r="G504" s="3">
        <v>1043524.678316</v>
      </c>
      <c r="H504" s="3">
        <v>1255941.7122949501</v>
      </c>
      <c r="I504" s="3">
        <v>1227014.0966221199</v>
      </c>
      <c r="J504" s="3">
        <v>1198086.4809492901</v>
      </c>
      <c r="K504" s="3">
        <v>1409947.2545757601</v>
      </c>
      <c r="L504" s="3">
        <v>1621808.0282022299</v>
      </c>
      <c r="M504" s="3">
        <v>1429070.5195449099</v>
      </c>
      <c r="N504" s="3">
        <v>1236333.01088758</v>
      </c>
      <c r="O504" s="3">
        <v>1072738.2947984699</v>
      </c>
      <c r="P504" s="3">
        <v>909143.57870934706</v>
      </c>
      <c r="Q504" s="3">
        <v>817361.24036774598</v>
      </c>
      <c r="R504" s="3">
        <v>725578.90202614502</v>
      </c>
      <c r="S504" s="3">
        <v>0</v>
      </c>
      <c r="U504">
        <v>214.56414660720401</v>
      </c>
    </row>
    <row r="505" spans="2:21" x14ac:dyDescent="0.3">
      <c r="B505" s="43"/>
      <c r="C505" s="77">
        <v>6.75</v>
      </c>
      <c r="D505" s="3">
        <v>214564.14660720402</v>
      </c>
      <c r="E505" s="3">
        <v>522835.89547212602</v>
      </c>
      <c r="F505" s="3">
        <v>831107.64433704701</v>
      </c>
      <c r="G505" s="3">
        <v>1043524.678316</v>
      </c>
      <c r="H505" s="3">
        <v>1255941.7122949501</v>
      </c>
      <c r="I505" s="3">
        <v>1227014.0966221199</v>
      </c>
      <c r="J505" s="3">
        <v>1198086.4809492901</v>
      </c>
      <c r="K505" s="3">
        <v>1409947.2545757601</v>
      </c>
      <c r="L505" s="3">
        <v>1621808.0282022299</v>
      </c>
      <c r="M505" s="3">
        <v>1429070.5195449099</v>
      </c>
      <c r="N505" s="3">
        <v>1236333.01088758</v>
      </c>
      <c r="O505" s="3">
        <v>1072738.2947984699</v>
      </c>
      <c r="P505" s="3">
        <v>909143.57870934706</v>
      </c>
      <c r="Q505" s="3">
        <v>817361.24036774598</v>
      </c>
      <c r="R505" s="3">
        <v>725578.90202614502</v>
      </c>
      <c r="S505" s="3">
        <v>0</v>
      </c>
    </row>
    <row r="506" spans="2:21" x14ac:dyDescent="0.3">
      <c r="B506" s="43"/>
      <c r="C506" s="77">
        <v>7.25</v>
      </c>
      <c r="D506" s="3">
        <v>214564.14660720402</v>
      </c>
      <c r="E506" s="3">
        <v>522835.89547212602</v>
      </c>
      <c r="F506" s="3">
        <v>831107.64433704701</v>
      </c>
      <c r="G506" s="3">
        <v>1043524.678316</v>
      </c>
      <c r="H506" s="3">
        <v>1255941.7122949501</v>
      </c>
      <c r="I506" s="3">
        <v>1227014.0966221199</v>
      </c>
      <c r="J506" s="3">
        <v>1198086.4809492901</v>
      </c>
      <c r="K506" s="3">
        <v>1409947.2545757601</v>
      </c>
      <c r="L506" s="3">
        <v>1621808.0282022299</v>
      </c>
      <c r="M506" s="3">
        <v>1429070.5195449099</v>
      </c>
      <c r="N506" s="3">
        <v>1236333.01088758</v>
      </c>
      <c r="O506" s="3">
        <v>1072738.2947984699</v>
      </c>
      <c r="P506" s="3">
        <v>909143.57870934706</v>
      </c>
      <c r="Q506" s="3">
        <v>817361.24036774598</v>
      </c>
      <c r="R506" s="3">
        <v>725578.90202614502</v>
      </c>
      <c r="S506" s="3">
        <v>0</v>
      </c>
    </row>
    <row r="507" spans="2:21" x14ac:dyDescent="0.3">
      <c r="B507" s="43"/>
      <c r="C507" s="77">
        <v>7.75</v>
      </c>
      <c r="D507" s="3">
        <v>214564.14660720402</v>
      </c>
      <c r="E507" s="3">
        <v>522835.89547212602</v>
      </c>
      <c r="F507" s="3">
        <v>831107.64433704701</v>
      </c>
      <c r="G507" s="3">
        <v>1043524.678316</v>
      </c>
      <c r="H507" s="3">
        <v>1255941.7122949501</v>
      </c>
      <c r="I507" s="3">
        <v>1227014.0966221199</v>
      </c>
      <c r="J507" s="3">
        <v>1198086.4809492901</v>
      </c>
      <c r="K507" s="3">
        <v>1409947.2545757601</v>
      </c>
      <c r="L507" s="3">
        <v>1621808.0282022299</v>
      </c>
      <c r="M507" s="3">
        <v>1429070.5195449099</v>
      </c>
      <c r="N507" s="3">
        <v>1236333.01088758</v>
      </c>
      <c r="O507" s="3">
        <v>1072738.2947984699</v>
      </c>
      <c r="P507" s="3">
        <v>909143.57870934706</v>
      </c>
      <c r="Q507" s="3">
        <v>817361.24036774598</v>
      </c>
      <c r="R507" s="3">
        <v>725578.90202614502</v>
      </c>
      <c r="S507" s="3">
        <v>0</v>
      </c>
    </row>
    <row r="508" spans="2:21" x14ac:dyDescent="0.3">
      <c r="B508" s="43"/>
      <c r="C508" s="77">
        <v>8.25</v>
      </c>
      <c r="D508" s="3">
        <v>214564.14660720402</v>
      </c>
      <c r="E508" s="3">
        <v>522835.89547212602</v>
      </c>
      <c r="F508" s="3">
        <v>831107.64433704701</v>
      </c>
      <c r="G508" s="3">
        <v>1043524.678316</v>
      </c>
      <c r="H508" s="3">
        <v>1255941.7122949501</v>
      </c>
      <c r="I508" s="3">
        <v>1227014.0966221199</v>
      </c>
      <c r="J508" s="3">
        <v>1198086.4809492901</v>
      </c>
      <c r="K508" s="3">
        <v>1409947.2545757601</v>
      </c>
      <c r="L508" s="3">
        <v>1621808.0282022299</v>
      </c>
      <c r="M508" s="3">
        <v>1429070.5195449099</v>
      </c>
      <c r="N508" s="3">
        <v>1236333.01088758</v>
      </c>
      <c r="O508" s="3">
        <v>1072738.2947984699</v>
      </c>
      <c r="P508" s="3">
        <v>909143.57870934706</v>
      </c>
      <c r="Q508" s="3">
        <v>817361.24036774598</v>
      </c>
      <c r="R508" s="3">
        <v>725578.90202614502</v>
      </c>
      <c r="S508" s="3">
        <v>0</v>
      </c>
    </row>
    <row r="509" spans="2:21" x14ac:dyDescent="0.3">
      <c r="B509" s="43"/>
      <c r="C509" s="77">
        <v>8.75</v>
      </c>
      <c r="D509" s="3">
        <v>214564.14660720402</v>
      </c>
      <c r="E509" s="3">
        <v>522835.89547212602</v>
      </c>
      <c r="F509" s="3">
        <v>831107.64433704701</v>
      </c>
      <c r="G509" s="3">
        <v>1043524.678316</v>
      </c>
      <c r="H509" s="3">
        <v>1255941.7122949501</v>
      </c>
      <c r="I509" s="3">
        <v>1227014.0966221199</v>
      </c>
      <c r="J509" s="3">
        <v>1198086.4809492901</v>
      </c>
      <c r="K509" s="3">
        <v>1409947.2545757601</v>
      </c>
      <c r="L509" s="3">
        <v>1621808.0282022299</v>
      </c>
      <c r="M509" s="3">
        <v>1429070.5195449099</v>
      </c>
      <c r="N509" s="3">
        <v>1236333.01088758</v>
      </c>
      <c r="O509" s="3">
        <v>1072738.2947984699</v>
      </c>
      <c r="P509" s="3">
        <v>909143.57870934706</v>
      </c>
      <c r="Q509" s="3">
        <v>817361.24036774598</v>
      </c>
      <c r="R509" s="3">
        <v>725578.90202614502</v>
      </c>
      <c r="S509" s="3">
        <v>0</v>
      </c>
    </row>
    <row r="510" spans="2:21" x14ac:dyDescent="0.3">
      <c r="B510" s="43"/>
      <c r="C510" s="77">
        <v>9.25</v>
      </c>
      <c r="D510" s="3">
        <v>214564.14660720402</v>
      </c>
      <c r="E510" s="3">
        <v>522835.89547212602</v>
      </c>
      <c r="F510" s="3">
        <v>831107.64433704701</v>
      </c>
      <c r="G510" s="3">
        <v>1043524.678316</v>
      </c>
      <c r="H510" s="3">
        <v>1255941.7122949501</v>
      </c>
      <c r="I510" s="3">
        <v>1227014.0966221199</v>
      </c>
      <c r="J510" s="3">
        <v>1198086.4809492901</v>
      </c>
      <c r="K510" s="3">
        <v>1409947.2545757601</v>
      </c>
      <c r="L510" s="3">
        <v>1621808.0282022299</v>
      </c>
      <c r="M510" s="3">
        <v>1429070.5195449099</v>
      </c>
      <c r="N510" s="3">
        <v>1236333.01088758</v>
      </c>
      <c r="O510" s="3">
        <v>1072738.2947984699</v>
      </c>
      <c r="P510" s="3">
        <v>909143.57870934706</v>
      </c>
      <c r="Q510" s="3">
        <v>817361.24036774598</v>
      </c>
      <c r="R510" s="3">
        <v>725578.90202614502</v>
      </c>
      <c r="S510" s="3">
        <v>0</v>
      </c>
    </row>
    <row r="511" spans="2:21" x14ac:dyDescent="0.3">
      <c r="B511" s="43"/>
      <c r="C511" s="77">
        <v>9.75</v>
      </c>
      <c r="D511" s="3">
        <v>214564.14660720402</v>
      </c>
      <c r="E511" s="3">
        <v>522835.89547212602</v>
      </c>
      <c r="F511" s="3">
        <v>831107.64433704701</v>
      </c>
      <c r="G511" s="3">
        <v>1043524.678316</v>
      </c>
      <c r="H511" s="3">
        <v>1255941.7122949501</v>
      </c>
      <c r="I511" s="3">
        <v>1227014.0966221199</v>
      </c>
      <c r="J511" s="3">
        <v>1198086.4809492901</v>
      </c>
      <c r="K511" s="3">
        <v>1409947.2545757601</v>
      </c>
      <c r="L511" s="3">
        <v>1621808.0282022299</v>
      </c>
      <c r="M511" s="3">
        <v>1429070.5195449099</v>
      </c>
      <c r="N511" s="3">
        <v>1236333.01088758</v>
      </c>
      <c r="O511" s="3">
        <v>1072738.2947984699</v>
      </c>
      <c r="P511" s="3">
        <v>909143.57870934706</v>
      </c>
      <c r="Q511" s="3">
        <v>817361.24036774598</v>
      </c>
      <c r="R511" s="3">
        <v>725578.90202614502</v>
      </c>
      <c r="S511" s="3">
        <v>0</v>
      </c>
    </row>
    <row r="513" spans="1:21" x14ac:dyDescent="0.3">
      <c r="A513">
        <v>15</v>
      </c>
      <c r="B513" s="110"/>
    </row>
    <row r="514" spans="1:21" x14ac:dyDescent="0.3">
      <c r="A514" s="45" t="s">
        <v>89</v>
      </c>
      <c r="B514" s="43"/>
    </row>
    <row r="515" spans="1:21" x14ac:dyDescent="0.3">
      <c r="A515" s="43"/>
      <c r="B515" s="43" t="s">
        <v>91</v>
      </c>
      <c r="D515">
        <v>30</v>
      </c>
      <c r="E515" t="s">
        <v>4</v>
      </c>
    </row>
    <row r="516" spans="1:21" x14ac:dyDescent="0.3">
      <c r="A516" s="43"/>
      <c r="B516" s="43" t="s">
        <v>93</v>
      </c>
      <c r="D516">
        <v>6</v>
      </c>
      <c r="E516" t="s">
        <v>4</v>
      </c>
    </row>
    <row r="517" spans="1:21" x14ac:dyDescent="0.3">
      <c r="A517" s="43"/>
      <c r="B517" s="43" t="s">
        <v>124</v>
      </c>
      <c r="D517" s="6">
        <f>(D515/2)^2*PI()*D516</f>
        <v>4241.1500823462211</v>
      </c>
      <c r="E517" t="s">
        <v>5</v>
      </c>
    </row>
    <row r="518" spans="1:21" x14ac:dyDescent="0.3">
      <c r="A518" s="43"/>
      <c r="B518" s="43" t="s">
        <v>12</v>
      </c>
      <c r="D518">
        <v>0</v>
      </c>
      <c r="E518" t="s">
        <v>125</v>
      </c>
    </row>
    <row r="519" spans="1:21" x14ac:dyDescent="0.3">
      <c r="A519" s="43"/>
      <c r="B519" s="43" t="s">
        <v>126</v>
      </c>
      <c r="D519">
        <v>0.1</v>
      </c>
    </row>
    <row r="520" spans="1:21" x14ac:dyDescent="0.3">
      <c r="B520" s="43" t="s">
        <v>127</v>
      </c>
      <c r="D520">
        <v>0.1</v>
      </c>
    </row>
    <row r="521" spans="1:21" x14ac:dyDescent="0.3">
      <c r="B521" s="43" t="s">
        <v>145</v>
      </c>
      <c r="D521">
        <v>1</v>
      </c>
    </row>
    <row r="523" spans="1:21" x14ac:dyDescent="0.3">
      <c r="A523" s="7" t="s">
        <v>18</v>
      </c>
    </row>
    <row r="524" spans="1:21" x14ac:dyDescent="0.3">
      <c r="B524" s="43"/>
      <c r="C524" s="43"/>
      <c r="D524" s="43" t="s">
        <v>117</v>
      </c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</row>
    <row r="525" spans="1:21" x14ac:dyDescent="0.3">
      <c r="B525" s="43"/>
      <c r="C525" s="75"/>
      <c r="D525" s="76">
        <v>4.5</v>
      </c>
      <c r="E525" s="76">
        <v>5.5</v>
      </c>
      <c r="F525" s="76">
        <v>6.5</v>
      </c>
      <c r="G525" s="76">
        <v>7.5</v>
      </c>
      <c r="H525" s="76">
        <v>8.5</v>
      </c>
      <c r="I525" s="76">
        <v>9.5</v>
      </c>
      <c r="J525" s="76">
        <v>10.5</v>
      </c>
      <c r="K525" s="76">
        <v>11.5</v>
      </c>
      <c r="L525" s="76">
        <v>12.5</v>
      </c>
      <c r="M525" s="76">
        <v>13.5</v>
      </c>
      <c r="N525" s="76">
        <v>14.5</v>
      </c>
      <c r="O525" s="76">
        <v>15.5</v>
      </c>
      <c r="P525" s="76">
        <v>16.5</v>
      </c>
      <c r="Q525" s="76">
        <v>17.5</v>
      </c>
      <c r="R525" s="76">
        <v>18.5</v>
      </c>
      <c r="S525" s="76">
        <v>19.5</v>
      </c>
    </row>
    <row r="526" spans="1:21" x14ac:dyDescent="0.3">
      <c r="B526" s="43" t="s">
        <v>118</v>
      </c>
      <c r="C526" s="77">
        <v>0.25</v>
      </c>
      <c r="D526" s="3">
        <v>255.29113338618697</v>
      </c>
      <c r="E526" s="3">
        <v>876.50422077160908</v>
      </c>
      <c r="F526" s="3">
        <v>1497.7173081570302</v>
      </c>
      <c r="G526" s="3">
        <v>2010.3411177156499</v>
      </c>
      <c r="H526" s="3">
        <v>2522.9649272742699</v>
      </c>
      <c r="I526" s="3">
        <v>2537.54758222807</v>
      </c>
      <c r="J526" s="3">
        <v>2552.1302371818701</v>
      </c>
      <c r="K526" s="3">
        <v>2510.4715647313101</v>
      </c>
      <c r="L526" s="3">
        <v>2468.81289228075</v>
      </c>
      <c r="M526" s="3">
        <v>2484.2556347117497</v>
      </c>
      <c r="N526" s="3">
        <v>2499.6983771427499</v>
      </c>
      <c r="O526" s="3">
        <v>2561.1834205250702</v>
      </c>
      <c r="P526" s="3">
        <v>2622.6684639073897</v>
      </c>
      <c r="Q526" s="3">
        <v>2125.6362927823197</v>
      </c>
      <c r="R526" s="3">
        <v>1628.6041216572501</v>
      </c>
      <c r="S526" s="3">
        <v>0</v>
      </c>
      <c r="U526">
        <v>0.25529113338618697</v>
      </c>
    </row>
    <row r="527" spans="1:21" x14ac:dyDescent="0.3">
      <c r="B527" s="43"/>
      <c r="C527" s="77">
        <v>0.75</v>
      </c>
      <c r="D527" s="3">
        <v>3538.7549566272401</v>
      </c>
      <c r="E527" s="3">
        <v>11789.8180442712</v>
      </c>
      <c r="F527" s="3">
        <v>20040.881131915201</v>
      </c>
      <c r="G527" s="3">
        <v>26146.660668701799</v>
      </c>
      <c r="H527" s="3">
        <v>32252.440205488496</v>
      </c>
      <c r="I527" s="3">
        <v>35232.83429205</v>
      </c>
      <c r="J527" s="3">
        <v>38213.2283786115</v>
      </c>
      <c r="K527" s="3">
        <v>36654.416653749802</v>
      </c>
      <c r="L527" s="3">
        <v>35095.604928888104</v>
      </c>
      <c r="M527" s="3">
        <v>34454.425787423505</v>
      </c>
      <c r="N527" s="3">
        <v>33813.246645958898</v>
      </c>
      <c r="O527" s="3">
        <v>29987.478388260301</v>
      </c>
      <c r="P527" s="3">
        <v>26161.710130561802</v>
      </c>
      <c r="Q527" s="3">
        <v>22792.487991392001</v>
      </c>
      <c r="R527" s="3">
        <v>19423.265852222201</v>
      </c>
      <c r="S527" s="3">
        <v>0</v>
      </c>
      <c r="U527">
        <v>3.53875495662724</v>
      </c>
    </row>
    <row r="528" spans="1:21" x14ac:dyDescent="0.3">
      <c r="B528" s="43"/>
      <c r="C528" s="77">
        <v>1.25</v>
      </c>
      <c r="D528" s="3">
        <v>6822.2187798682999</v>
      </c>
      <c r="E528" s="3">
        <v>22703.1318677708</v>
      </c>
      <c r="F528" s="3">
        <v>38584.0449556733</v>
      </c>
      <c r="G528" s="3">
        <v>50282.980219687997</v>
      </c>
      <c r="H528" s="3">
        <v>61981.9154837026</v>
      </c>
      <c r="I528" s="3">
        <v>67928.121001871899</v>
      </c>
      <c r="J528" s="3">
        <v>73874.326520041199</v>
      </c>
      <c r="K528" s="3">
        <v>70798.361742768408</v>
      </c>
      <c r="L528" s="3">
        <v>67722.3969654955</v>
      </c>
      <c r="M528" s="3">
        <v>66424.595940135303</v>
      </c>
      <c r="N528" s="3">
        <v>65126.794914775004</v>
      </c>
      <c r="O528" s="3">
        <v>57413.773355995603</v>
      </c>
      <c r="P528" s="3">
        <v>49700.751797216202</v>
      </c>
      <c r="Q528" s="3">
        <v>43459.339690001696</v>
      </c>
      <c r="R528" s="3">
        <v>37217.927582787197</v>
      </c>
      <c r="S528" s="3">
        <v>0</v>
      </c>
      <c r="U528">
        <v>6.8222187798683001</v>
      </c>
    </row>
    <row r="529" spans="2:21" x14ac:dyDescent="0.3">
      <c r="B529" s="43"/>
      <c r="C529" s="77">
        <v>1.75</v>
      </c>
      <c r="D529" s="3">
        <v>13129.8178181392</v>
      </c>
      <c r="E529" s="3">
        <v>46177.701474771704</v>
      </c>
      <c r="F529" s="3">
        <v>79225.585131404208</v>
      </c>
      <c r="G529" s="3">
        <v>96124.686042062502</v>
      </c>
      <c r="H529" s="3">
        <v>113023.786952721</v>
      </c>
      <c r="I529" s="3">
        <v>134768.80842507002</v>
      </c>
      <c r="J529" s="3">
        <v>156513.829897419</v>
      </c>
      <c r="K529" s="3">
        <v>150283.30389534499</v>
      </c>
      <c r="L529" s="3">
        <v>144052.77789326999</v>
      </c>
      <c r="M529" s="3">
        <v>137433.29813009899</v>
      </c>
      <c r="N529" s="3">
        <v>130813.818366928</v>
      </c>
      <c r="O529" s="3">
        <v>120490.47531724599</v>
      </c>
      <c r="P529" s="3">
        <v>110167.132267564</v>
      </c>
      <c r="Q529" s="3">
        <v>96469.421422925603</v>
      </c>
      <c r="R529" s="3">
        <v>82771.710578287501</v>
      </c>
      <c r="S529" s="3">
        <v>0</v>
      </c>
      <c r="U529">
        <v>13.1298178181392</v>
      </c>
    </row>
    <row r="530" spans="2:21" x14ac:dyDescent="0.3">
      <c r="B530" s="43"/>
      <c r="C530" s="77">
        <v>2.25</v>
      </c>
      <c r="D530" s="3">
        <v>19437.416856410098</v>
      </c>
      <c r="E530" s="3">
        <v>69652.271081772604</v>
      </c>
      <c r="F530" s="3">
        <v>119867.12530713499</v>
      </c>
      <c r="G530" s="3">
        <v>141966.39186443703</v>
      </c>
      <c r="H530" s="3">
        <v>164065.65842173898</v>
      </c>
      <c r="I530" s="3">
        <v>201609.49584826801</v>
      </c>
      <c r="J530" s="3">
        <v>239153.333274798</v>
      </c>
      <c r="K530" s="3">
        <v>229768.24604792098</v>
      </c>
      <c r="L530" s="3">
        <v>220383.15882104399</v>
      </c>
      <c r="M530" s="3">
        <v>208442.00032006198</v>
      </c>
      <c r="N530" s="3">
        <v>196500.84181908</v>
      </c>
      <c r="O530" s="3">
        <v>183567.17727849598</v>
      </c>
      <c r="P530" s="3">
        <v>170633.51273791099</v>
      </c>
      <c r="Q530" s="3">
        <v>149479.503155849</v>
      </c>
      <c r="R530" s="3">
        <v>128325.49357378802</v>
      </c>
      <c r="S530" s="3">
        <v>0</v>
      </c>
      <c r="U530">
        <v>19.437416856410099</v>
      </c>
    </row>
    <row r="531" spans="2:21" x14ac:dyDescent="0.3">
      <c r="B531" s="43"/>
      <c r="C531" s="77">
        <v>2.75</v>
      </c>
      <c r="D531" s="3">
        <v>33657.409993310001</v>
      </c>
      <c r="E531" s="3">
        <v>105571.11478569701</v>
      </c>
      <c r="F531" s="3">
        <v>177484.81957808501</v>
      </c>
      <c r="G531" s="3">
        <v>225438.89964823899</v>
      </c>
      <c r="H531" s="3">
        <v>273392.979718394</v>
      </c>
      <c r="I531" s="3">
        <v>313406.34905502299</v>
      </c>
      <c r="J531" s="3">
        <v>353419.71839165199</v>
      </c>
      <c r="K531" s="3">
        <v>372583.32256484404</v>
      </c>
      <c r="L531" s="3">
        <v>391746.92673803598</v>
      </c>
      <c r="M531" s="3">
        <v>348276.82133546198</v>
      </c>
      <c r="N531" s="3">
        <v>304806.71593288798</v>
      </c>
      <c r="O531" s="3">
        <v>282614.94401280099</v>
      </c>
      <c r="P531" s="3">
        <v>260423.17209271301</v>
      </c>
      <c r="Q531" s="3">
        <v>235133.448474306</v>
      </c>
      <c r="R531" s="3">
        <v>209843.72485589798</v>
      </c>
      <c r="S531" s="3">
        <v>0</v>
      </c>
      <c r="U531">
        <v>33.657409993309997</v>
      </c>
    </row>
    <row r="532" spans="2:21" x14ac:dyDescent="0.3">
      <c r="B532" s="43"/>
      <c r="C532" s="77">
        <v>3.25</v>
      </c>
      <c r="D532" s="3">
        <v>47877.403130209896</v>
      </c>
      <c r="E532" s="3">
        <v>141489.95848962202</v>
      </c>
      <c r="F532" s="3">
        <v>235102.513849034</v>
      </c>
      <c r="G532" s="3">
        <v>308911.40743204101</v>
      </c>
      <c r="H532" s="3">
        <v>382720.30101504904</v>
      </c>
      <c r="I532" s="3">
        <v>425203.20226177701</v>
      </c>
      <c r="J532" s="3">
        <v>467686.10350850597</v>
      </c>
      <c r="K532" s="3">
        <v>515398.39908176701</v>
      </c>
      <c r="L532" s="3">
        <v>563110.69465502899</v>
      </c>
      <c r="M532" s="3">
        <v>488111.64235086303</v>
      </c>
      <c r="N532" s="3">
        <v>413112.59004669701</v>
      </c>
      <c r="O532" s="3">
        <v>381662.710747106</v>
      </c>
      <c r="P532" s="3">
        <v>350212.83144751599</v>
      </c>
      <c r="Q532" s="3">
        <v>320787.39379276196</v>
      </c>
      <c r="R532" s="3">
        <v>291361.95613800903</v>
      </c>
      <c r="S532" s="3">
        <v>0</v>
      </c>
      <c r="U532">
        <v>47.877403130209899</v>
      </c>
    </row>
    <row r="533" spans="2:21" x14ac:dyDescent="0.3">
      <c r="B533" s="43"/>
      <c r="C533" s="77">
        <v>3.75</v>
      </c>
      <c r="D533" s="3">
        <v>58637.921083123299</v>
      </c>
      <c r="E533" s="3">
        <v>185396.95021851099</v>
      </c>
      <c r="F533" s="3">
        <v>312155.97935389797</v>
      </c>
      <c r="G533" s="3">
        <v>415439.27394952404</v>
      </c>
      <c r="H533" s="3">
        <v>518722.56854514999</v>
      </c>
      <c r="I533" s="3">
        <v>559280.14294339006</v>
      </c>
      <c r="J533" s="3">
        <v>599837.71734163002</v>
      </c>
      <c r="K533" s="3">
        <v>653104.51639325696</v>
      </c>
      <c r="L533" s="3">
        <v>706371.31544488505</v>
      </c>
      <c r="M533" s="3">
        <v>647146.19525495009</v>
      </c>
      <c r="N533" s="3">
        <v>587921.075065015</v>
      </c>
      <c r="O533" s="3">
        <v>528374.48758420104</v>
      </c>
      <c r="P533" s="3">
        <v>468827.90010338603</v>
      </c>
      <c r="Q533" s="3">
        <v>428787.10797562799</v>
      </c>
      <c r="R533" s="3">
        <v>388746.31584787101</v>
      </c>
      <c r="S533" s="3">
        <v>0</v>
      </c>
      <c r="U533">
        <v>58.637921083123302</v>
      </c>
    </row>
    <row r="534" spans="2:21" x14ac:dyDescent="0.3">
      <c r="B534" s="43"/>
      <c r="C534" s="77">
        <v>4.25</v>
      </c>
      <c r="D534" s="3">
        <v>69398.439036036711</v>
      </c>
      <c r="E534" s="3">
        <v>229303.941947399</v>
      </c>
      <c r="F534" s="3">
        <v>389209.44485876203</v>
      </c>
      <c r="G534" s="3">
        <v>521967.14046700596</v>
      </c>
      <c r="H534" s="3">
        <v>654724.83607525099</v>
      </c>
      <c r="I534" s="3">
        <v>693357.08362500207</v>
      </c>
      <c r="J534" s="3">
        <v>731989.33117475407</v>
      </c>
      <c r="K534" s="3">
        <v>790810.633704748</v>
      </c>
      <c r="L534" s="3">
        <v>849631.93623474101</v>
      </c>
      <c r="M534" s="3">
        <v>806180.74815903802</v>
      </c>
      <c r="N534" s="3">
        <v>762729.56008333398</v>
      </c>
      <c r="O534" s="3">
        <v>675086.26442129503</v>
      </c>
      <c r="P534" s="3">
        <v>587442.968759257</v>
      </c>
      <c r="Q534" s="3">
        <v>536786.82215849508</v>
      </c>
      <c r="R534" s="3">
        <v>486130.675557732</v>
      </c>
      <c r="S534" s="3">
        <v>0</v>
      </c>
      <c r="U534">
        <v>69.398439036036706</v>
      </c>
    </row>
    <row r="535" spans="2:21" x14ac:dyDescent="0.3">
      <c r="B535" s="43"/>
      <c r="C535" s="77">
        <v>4.75</v>
      </c>
      <c r="D535" s="3">
        <v>89627.913612182398</v>
      </c>
      <c r="E535" s="3">
        <v>318623.07271562098</v>
      </c>
      <c r="F535" s="3">
        <v>547618.23181906005</v>
      </c>
      <c r="G535" s="3">
        <v>683713.68289723794</v>
      </c>
      <c r="H535" s="3">
        <v>819809.133975417</v>
      </c>
      <c r="I535" s="3">
        <v>939104.60707659996</v>
      </c>
      <c r="J535" s="3">
        <v>1058400.08017778</v>
      </c>
      <c r="K535" s="3">
        <v>1127691.5108357901</v>
      </c>
      <c r="L535" s="3">
        <v>1196982.9414938099</v>
      </c>
      <c r="M535" s="3">
        <v>1062660.25346331</v>
      </c>
      <c r="N535" s="3">
        <v>928337.56543280906</v>
      </c>
      <c r="O535" s="3">
        <v>838054.10295177205</v>
      </c>
      <c r="P535" s="3">
        <v>747770.64047073503</v>
      </c>
      <c r="Q535" s="3">
        <v>644245.19978557993</v>
      </c>
      <c r="R535" s="3">
        <v>540719.75910042494</v>
      </c>
      <c r="S535" s="3">
        <v>0</v>
      </c>
      <c r="U535">
        <v>89.627913612182397</v>
      </c>
    </row>
    <row r="536" spans="2:21" x14ac:dyDescent="0.3">
      <c r="B536" s="43"/>
      <c r="C536" s="77">
        <v>5.25</v>
      </c>
      <c r="D536" s="3">
        <v>109857.388188328</v>
      </c>
      <c r="E536" s="3">
        <v>407942.20348384301</v>
      </c>
      <c r="F536" s="3">
        <v>706027.01877935708</v>
      </c>
      <c r="G536" s="3">
        <v>845460.22532746999</v>
      </c>
      <c r="H536" s="3">
        <v>984893.43187558302</v>
      </c>
      <c r="I536" s="3">
        <v>1184852.1305282</v>
      </c>
      <c r="J536" s="3">
        <v>1384810.8291808101</v>
      </c>
      <c r="K536" s="3">
        <v>1464572.3879668401</v>
      </c>
      <c r="L536" s="3">
        <v>1544333.94675287</v>
      </c>
      <c r="M536" s="3">
        <v>1319139.7587675799</v>
      </c>
      <c r="N536" s="3">
        <v>1093945.5707822798</v>
      </c>
      <c r="O536" s="3">
        <v>1001021.94148225</v>
      </c>
      <c r="P536" s="3">
        <v>908098.31218221306</v>
      </c>
      <c r="Q536" s="3">
        <v>751703.57741266501</v>
      </c>
      <c r="R536" s="3">
        <v>595308.842643118</v>
      </c>
      <c r="S536" s="3">
        <v>0</v>
      </c>
      <c r="U536">
        <v>109.857388188328</v>
      </c>
    </row>
    <row r="537" spans="2:21" x14ac:dyDescent="0.3">
      <c r="B537" s="43"/>
      <c r="C537" s="77">
        <v>5.75</v>
      </c>
      <c r="D537" s="3">
        <v>142450.29457060801</v>
      </c>
      <c r="E537" s="3">
        <v>450035.20597386302</v>
      </c>
      <c r="F537" s="3">
        <v>757620.11737711704</v>
      </c>
      <c r="G537" s="3">
        <v>987058.56578786694</v>
      </c>
      <c r="H537" s="3">
        <v>1216497.0141986201</v>
      </c>
      <c r="I537" s="3">
        <v>1378457.0878188899</v>
      </c>
      <c r="J537" s="3">
        <v>1540417.1614391501</v>
      </c>
      <c r="K537" s="3">
        <v>1546009.00638087</v>
      </c>
      <c r="L537" s="3">
        <v>1551600.8513225899</v>
      </c>
      <c r="M537" s="3">
        <v>1442542.0186761301</v>
      </c>
      <c r="N537" s="3">
        <v>1333483.1860296698</v>
      </c>
      <c r="O537" s="3">
        <v>1188529.2876582001</v>
      </c>
      <c r="P537" s="3">
        <v>1043575.3892867299</v>
      </c>
      <c r="Q537" s="3">
        <v>891102.75331394305</v>
      </c>
      <c r="R537" s="3">
        <v>738630.11734115903</v>
      </c>
      <c r="S537" s="3">
        <v>0</v>
      </c>
      <c r="U537">
        <v>142.45029457060801</v>
      </c>
    </row>
    <row r="538" spans="2:21" x14ac:dyDescent="0.3">
      <c r="B538" s="43"/>
      <c r="C538" s="77">
        <v>6.25</v>
      </c>
      <c r="D538" s="3">
        <v>175043.20095288797</v>
      </c>
      <c r="E538" s="3">
        <v>492128.20846388303</v>
      </c>
      <c r="F538" s="3">
        <v>809213.21597487805</v>
      </c>
      <c r="G538" s="3">
        <v>1128656.9062482598</v>
      </c>
      <c r="H538" s="3">
        <v>1448100.59652165</v>
      </c>
      <c r="I538" s="3">
        <v>1572062.0451095698</v>
      </c>
      <c r="J538" s="3">
        <v>1696023.4936974901</v>
      </c>
      <c r="K538" s="3">
        <v>1627445.62479491</v>
      </c>
      <c r="L538" s="3">
        <v>1558867.7558923201</v>
      </c>
      <c r="M538" s="3">
        <v>1565944.2785846801</v>
      </c>
      <c r="N538" s="3">
        <v>1573020.80127705</v>
      </c>
      <c r="O538" s="3">
        <v>1376036.6338341502</v>
      </c>
      <c r="P538" s="3">
        <v>1179052.46639124</v>
      </c>
      <c r="Q538" s="3">
        <v>1030501.9292152199</v>
      </c>
      <c r="R538" s="3">
        <v>881951.39203919901</v>
      </c>
      <c r="S538" s="3">
        <v>0</v>
      </c>
      <c r="U538">
        <v>175.04320095288799</v>
      </c>
    </row>
    <row r="539" spans="2:21" x14ac:dyDescent="0.3">
      <c r="B539" s="43"/>
      <c r="C539" s="77">
        <v>6.75</v>
      </c>
      <c r="D539" s="3">
        <v>175043.20095288797</v>
      </c>
      <c r="E539" s="3">
        <v>492128.20846388303</v>
      </c>
      <c r="F539" s="3">
        <v>809213.21597487805</v>
      </c>
      <c r="G539" s="3">
        <v>1128656.9062482598</v>
      </c>
      <c r="H539" s="3">
        <v>1448100.59652165</v>
      </c>
      <c r="I539" s="3">
        <v>1572062.0451095698</v>
      </c>
      <c r="J539" s="3">
        <v>1696023.4936974901</v>
      </c>
      <c r="K539" s="3">
        <v>1627445.62479491</v>
      </c>
      <c r="L539" s="3">
        <v>1558867.7558923201</v>
      </c>
      <c r="M539" s="3">
        <v>1565944.2785846801</v>
      </c>
      <c r="N539" s="3">
        <v>1573020.80127705</v>
      </c>
      <c r="O539" s="3">
        <v>1376036.6338341502</v>
      </c>
      <c r="P539" s="3">
        <v>1179052.46639124</v>
      </c>
      <c r="Q539" s="3">
        <v>1030501.9292152199</v>
      </c>
      <c r="R539" s="3">
        <v>881951.39203919901</v>
      </c>
      <c r="S539" s="3">
        <v>0</v>
      </c>
    </row>
    <row r="540" spans="2:21" x14ac:dyDescent="0.3">
      <c r="B540" s="43"/>
      <c r="C540" s="77">
        <v>7.25</v>
      </c>
      <c r="D540" s="3">
        <v>175043.20095288797</v>
      </c>
      <c r="E540" s="3">
        <v>492128.20846388303</v>
      </c>
      <c r="F540" s="3">
        <v>809213.21597487805</v>
      </c>
      <c r="G540" s="3">
        <v>1128656.9062482598</v>
      </c>
      <c r="H540" s="3">
        <v>1448100.59652165</v>
      </c>
      <c r="I540" s="3">
        <v>1572062.0451095698</v>
      </c>
      <c r="J540" s="3">
        <v>1696023.4936974901</v>
      </c>
      <c r="K540" s="3">
        <v>1627445.62479491</v>
      </c>
      <c r="L540" s="3">
        <v>1558867.7558923201</v>
      </c>
      <c r="M540" s="3">
        <v>1565944.2785846801</v>
      </c>
      <c r="N540" s="3">
        <v>1573020.80127705</v>
      </c>
      <c r="O540" s="3">
        <v>1376036.6338341502</v>
      </c>
      <c r="P540" s="3">
        <v>1179052.46639124</v>
      </c>
      <c r="Q540" s="3">
        <v>1030501.9292152199</v>
      </c>
      <c r="R540" s="3">
        <v>881951.39203919901</v>
      </c>
      <c r="S540" s="3">
        <v>0</v>
      </c>
    </row>
    <row r="541" spans="2:21" x14ac:dyDescent="0.3">
      <c r="B541" s="43"/>
      <c r="C541" s="77">
        <v>7.75</v>
      </c>
      <c r="D541" s="3">
        <v>175043.20095288797</v>
      </c>
      <c r="E541" s="3">
        <v>492128.20846388303</v>
      </c>
      <c r="F541" s="3">
        <v>809213.21597487805</v>
      </c>
      <c r="G541" s="3">
        <v>1128656.9062482598</v>
      </c>
      <c r="H541" s="3">
        <v>1448100.59652165</v>
      </c>
      <c r="I541" s="3">
        <v>1572062.0451095698</v>
      </c>
      <c r="J541" s="3">
        <v>1696023.4936974901</v>
      </c>
      <c r="K541" s="3">
        <v>1627445.62479491</v>
      </c>
      <c r="L541" s="3">
        <v>1558867.7558923201</v>
      </c>
      <c r="M541" s="3">
        <v>1565944.2785846801</v>
      </c>
      <c r="N541" s="3">
        <v>1573020.80127705</v>
      </c>
      <c r="O541" s="3">
        <v>1376036.6338341502</v>
      </c>
      <c r="P541" s="3">
        <v>1179052.46639124</v>
      </c>
      <c r="Q541" s="3">
        <v>1030501.9292152199</v>
      </c>
      <c r="R541" s="3">
        <v>881951.39203919901</v>
      </c>
      <c r="S541" s="3">
        <v>0</v>
      </c>
    </row>
    <row r="542" spans="2:21" x14ac:dyDescent="0.3">
      <c r="B542" s="43"/>
      <c r="C542" s="77">
        <v>8.25</v>
      </c>
      <c r="D542" s="3">
        <v>175043.20095288797</v>
      </c>
      <c r="E542" s="3">
        <v>492128.20846388303</v>
      </c>
      <c r="F542" s="3">
        <v>809213.21597487805</v>
      </c>
      <c r="G542" s="3">
        <v>1128656.9062482598</v>
      </c>
      <c r="H542" s="3">
        <v>1448100.59652165</v>
      </c>
      <c r="I542" s="3">
        <v>1572062.0451095698</v>
      </c>
      <c r="J542" s="3">
        <v>1696023.4936974901</v>
      </c>
      <c r="K542" s="3">
        <v>1627445.62479491</v>
      </c>
      <c r="L542" s="3">
        <v>1558867.7558923201</v>
      </c>
      <c r="M542" s="3">
        <v>1565944.2785846801</v>
      </c>
      <c r="N542" s="3">
        <v>1573020.80127705</v>
      </c>
      <c r="O542" s="3">
        <v>1376036.6338341502</v>
      </c>
      <c r="P542" s="3">
        <v>1179052.46639124</v>
      </c>
      <c r="Q542" s="3">
        <v>1030501.9292152199</v>
      </c>
      <c r="R542" s="3">
        <v>881951.39203919901</v>
      </c>
      <c r="S542" s="3">
        <v>0</v>
      </c>
    </row>
    <row r="543" spans="2:21" x14ac:dyDescent="0.3">
      <c r="B543" s="43"/>
      <c r="C543" s="77">
        <v>8.75</v>
      </c>
      <c r="D543" s="3">
        <v>175043.20095288797</v>
      </c>
      <c r="E543" s="3">
        <v>492128.20846388303</v>
      </c>
      <c r="F543" s="3">
        <v>809213.21597487805</v>
      </c>
      <c r="G543" s="3">
        <v>1128656.9062482598</v>
      </c>
      <c r="H543" s="3">
        <v>1448100.59652165</v>
      </c>
      <c r="I543" s="3">
        <v>1572062.0451095698</v>
      </c>
      <c r="J543" s="3">
        <v>1696023.4936974901</v>
      </c>
      <c r="K543" s="3">
        <v>1627445.62479491</v>
      </c>
      <c r="L543" s="3">
        <v>1558867.7558923201</v>
      </c>
      <c r="M543" s="3">
        <v>1565944.2785846801</v>
      </c>
      <c r="N543" s="3">
        <v>1573020.80127705</v>
      </c>
      <c r="O543" s="3">
        <v>1376036.6338341502</v>
      </c>
      <c r="P543" s="3">
        <v>1179052.46639124</v>
      </c>
      <c r="Q543" s="3">
        <v>1030501.9292152199</v>
      </c>
      <c r="R543" s="3">
        <v>881951.39203919901</v>
      </c>
      <c r="S543" s="3">
        <v>0</v>
      </c>
    </row>
    <row r="544" spans="2:21" x14ac:dyDescent="0.3">
      <c r="B544" s="43"/>
      <c r="C544" s="77">
        <v>9.25</v>
      </c>
      <c r="D544" s="3">
        <v>175043.20095288797</v>
      </c>
      <c r="E544" s="3">
        <v>492128.20846388303</v>
      </c>
      <c r="F544" s="3">
        <v>809213.21597487805</v>
      </c>
      <c r="G544" s="3">
        <v>1128656.9062482598</v>
      </c>
      <c r="H544" s="3">
        <v>1448100.59652165</v>
      </c>
      <c r="I544" s="3">
        <v>1572062.0451095698</v>
      </c>
      <c r="J544" s="3">
        <v>1696023.4936974901</v>
      </c>
      <c r="K544" s="3">
        <v>1627445.62479491</v>
      </c>
      <c r="L544" s="3">
        <v>1558867.7558923201</v>
      </c>
      <c r="M544" s="3">
        <v>1565944.2785846801</v>
      </c>
      <c r="N544" s="3">
        <v>1573020.80127705</v>
      </c>
      <c r="O544" s="3">
        <v>1376036.6338341502</v>
      </c>
      <c r="P544" s="3">
        <v>1179052.46639124</v>
      </c>
      <c r="Q544" s="3">
        <v>1030501.9292152199</v>
      </c>
      <c r="R544" s="3">
        <v>881951.39203919901</v>
      </c>
      <c r="S544" s="3">
        <v>0</v>
      </c>
    </row>
    <row r="545" spans="2:19" s="29" customFormat="1" x14ac:dyDescent="0.3">
      <c r="B545" s="49"/>
      <c r="C545" s="177">
        <v>9.75</v>
      </c>
      <c r="D545" s="3">
        <v>175043.20095288797</v>
      </c>
      <c r="E545" s="3">
        <v>492128.20846388303</v>
      </c>
      <c r="F545" s="3">
        <v>809213.21597487805</v>
      </c>
      <c r="G545" s="3">
        <v>1128656.9062482598</v>
      </c>
      <c r="H545" s="3">
        <v>1448100.59652165</v>
      </c>
      <c r="I545" s="3">
        <v>1572062.0451095698</v>
      </c>
      <c r="J545" s="3">
        <v>1696023.4936974901</v>
      </c>
      <c r="K545" s="3">
        <v>1627445.62479491</v>
      </c>
      <c r="L545" s="3">
        <v>1558867.7558923201</v>
      </c>
      <c r="M545" s="3">
        <v>1565944.2785846801</v>
      </c>
      <c r="N545" s="3">
        <v>1573020.80127705</v>
      </c>
      <c r="O545" s="3">
        <v>1376036.6338341502</v>
      </c>
      <c r="P545" s="3">
        <v>1179052.46639124</v>
      </c>
      <c r="Q545" s="3">
        <v>1030501.9292152199</v>
      </c>
      <c r="R545" s="3">
        <v>881951.39203919901</v>
      </c>
      <c r="S545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75DC9-E55A-43AE-932A-EED027566466}">
  <sheetPr codeName="Sheet18"/>
  <dimension ref="A1:BO167"/>
  <sheetViews>
    <sheetView zoomScale="88" zoomScaleNormal="88" workbookViewId="0">
      <selection activeCell="CP298" sqref="CP298"/>
    </sheetView>
  </sheetViews>
  <sheetFormatPr defaultRowHeight="14.4" x14ac:dyDescent="0.3"/>
  <cols>
    <col min="1" max="1" width="3.5546875" customWidth="1"/>
  </cols>
  <sheetData>
    <row r="1" spans="1:24" x14ac:dyDescent="0.3">
      <c r="A1" t="s">
        <v>122</v>
      </c>
      <c r="C1" s="11">
        <f>IO!E16</f>
        <v>1</v>
      </c>
    </row>
    <row r="2" spans="1:24" x14ac:dyDescent="0.3">
      <c r="A2" t="s">
        <v>123</v>
      </c>
      <c r="C2" s="32">
        <f>36+(C1-1)*27</f>
        <v>36</v>
      </c>
    </row>
    <row r="5" spans="1:24" x14ac:dyDescent="0.3">
      <c r="A5" s="7" t="s">
        <v>129</v>
      </c>
    </row>
    <row r="7" spans="1:24" x14ac:dyDescent="0.3">
      <c r="B7" s="43"/>
      <c r="C7" s="43"/>
      <c r="D7" s="43" t="s">
        <v>117</v>
      </c>
      <c r="E7" s="51"/>
      <c r="F7" s="51"/>
      <c r="G7" s="51"/>
      <c r="H7" s="51"/>
      <c r="I7" s="43"/>
      <c r="J7" s="43"/>
      <c r="K7" s="43"/>
      <c r="L7" s="43"/>
      <c r="M7" s="43"/>
      <c r="N7" s="43"/>
      <c r="O7" s="43"/>
      <c r="P7" s="43"/>
      <c r="Q7" s="43"/>
      <c r="R7" s="74"/>
      <c r="S7" s="74"/>
      <c r="T7" s="43"/>
    </row>
    <row r="8" spans="1:24" x14ac:dyDescent="0.3">
      <c r="B8" s="43"/>
      <c r="C8" s="75"/>
      <c r="D8" s="76">
        <v>4.5</v>
      </c>
      <c r="E8" s="76">
        <v>5.5</v>
      </c>
      <c r="F8" s="76">
        <v>6.5</v>
      </c>
      <c r="G8" s="76">
        <v>7.5</v>
      </c>
      <c r="H8" s="76">
        <v>8.5</v>
      </c>
      <c r="I8" s="76">
        <v>9.5</v>
      </c>
      <c r="J8" s="76">
        <v>10.5</v>
      </c>
      <c r="K8" s="76">
        <v>11.5</v>
      </c>
      <c r="L8" s="76">
        <v>12.5</v>
      </c>
      <c r="M8" s="76">
        <v>13.5</v>
      </c>
      <c r="N8" s="76">
        <v>14.5</v>
      </c>
      <c r="O8" s="76">
        <v>15.5</v>
      </c>
      <c r="P8" s="76">
        <v>16.5</v>
      </c>
      <c r="Q8" s="76">
        <v>17.5</v>
      </c>
      <c r="R8" s="76">
        <v>18.5</v>
      </c>
      <c r="S8" s="76">
        <v>19.5</v>
      </c>
      <c r="T8" s="43"/>
    </row>
    <row r="9" spans="1:24" x14ac:dyDescent="0.3">
      <c r="B9" s="43" t="s">
        <v>118</v>
      </c>
      <c r="C9" s="77">
        <v>0.25</v>
      </c>
      <c r="D9" s="78">
        <f>IF($C$1=1,D36,IF($C$1=2,D63,IF($C$1=3,D90,IF($C$1=4,D117,IF($C$1=5,D144,IF($C$1=6,#REF!))))))</f>
        <v>0</v>
      </c>
      <c r="E9" s="78">
        <f>IF($C$1=1,E36,IF($C$1=2,E63,IF($C$1=3,E90,IF($C$1=4,E117,IF($C$1=5,E144,IF($C$1=6,#REF!))))))</f>
        <v>0</v>
      </c>
      <c r="F9" s="78">
        <f>IF($C$1=1,F36,IF($C$1=2,F63,IF($C$1=3,F90,IF($C$1=4,F117,IF($C$1=5,F144,IF($C$1=6,#REF!))))))</f>
        <v>0</v>
      </c>
      <c r="G9" s="78">
        <f>IF($C$1=1,G36,IF($C$1=2,G63,IF($C$1=3,G90,IF($C$1=4,G117,IF($C$1=5,G144,IF($C$1=6,#REF!))))))</f>
        <v>0</v>
      </c>
      <c r="H9" s="78">
        <f>IF($C$1=1,H36,IF($C$1=2,H63,IF($C$1=3,H90,IF($C$1=4,H117,IF($C$1=5,H144,IF($C$1=6,#REF!))))))</f>
        <v>0</v>
      </c>
      <c r="I9" s="78">
        <f>IF($C$1=1,I36,IF($C$1=2,I63,IF($C$1=3,I90,IF($C$1=4,I117,IF($C$1=5,I144,IF($C$1=6,#REF!))))))</f>
        <v>0</v>
      </c>
      <c r="J9" s="78">
        <f>IF($C$1=1,J36,IF($C$1=2,J63,IF($C$1=3,J90,IF($C$1=4,J117,IF($C$1=5,J144,IF($C$1=6,#REF!))))))</f>
        <v>0</v>
      </c>
      <c r="K9" s="78">
        <f>IF($C$1=1,K36,IF($C$1=2,K63,IF($C$1=3,K90,IF($C$1=4,K117,IF($C$1=5,K144,IF($C$1=6,#REF!))))))</f>
        <v>0</v>
      </c>
      <c r="L9" s="78">
        <f>IF($C$1=1,L36,IF($C$1=2,L63,IF($C$1=3,L90,IF($C$1=4,L117,IF($C$1=5,L144,IF($C$1=6,#REF!))))))</f>
        <v>0</v>
      </c>
      <c r="M9" s="78">
        <f>IF($C$1=1,M36,IF($C$1=2,M63,IF($C$1=3,M90,IF($C$1=4,M117,IF($C$1=5,M144,IF($C$1=6,#REF!))))))</f>
        <v>0</v>
      </c>
      <c r="N9" s="78">
        <f>IF($C$1=1,N36,IF($C$1=2,N63,IF($C$1=3,N90,IF($C$1=4,N117,IF($C$1=5,N144,IF($C$1=6,#REF!))))))</f>
        <v>0</v>
      </c>
      <c r="O9" s="78">
        <f>IF($C$1=1,O36,IF($C$1=2,O63,IF($C$1=3,O90,IF($C$1=4,O117,IF($C$1=5,O144,IF($C$1=6,#REF!))))))</f>
        <v>0</v>
      </c>
      <c r="P9" s="78">
        <f>IF($C$1=1,P36,IF($C$1=2,P63,IF($C$1=3,P90,IF($C$1=4,P117,IF($C$1=5,P144,IF($C$1=6,#REF!))))))</f>
        <v>0</v>
      </c>
      <c r="Q9" s="78">
        <f>IF($C$1=1,Q36,IF($C$1=2,Q63,IF($C$1=3,Q90,IF($C$1=4,Q117,IF($C$1=5,Q144,IF($C$1=6,#REF!))))))</f>
        <v>0</v>
      </c>
      <c r="R9" s="78">
        <f>IF($C$1=1,R36,IF($C$1=2,R63,IF($C$1=3,R90,IF($C$1=4,R117,IF($C$1=5,R144,IF($C$1=6,#REF!))))))</f>
        <v>0</v>
      </c>
      <c r="S9" s="78">
        <f>IF($C$1=1,S36,IF($C$1=2,S63,IF($C$1=3,S90,IF($C$1=4,S117,IF($C$1=5,S144,IF($C$1=6,#REF!))))))</f>
        <v>0</v>
      </c>
      <c r="T9" s="73">
        <f>SUM(D9:S9)</f>
        <v>0</v>
      </c>
    </row>
    <row r="10" spans="1:24" x14ac:dyDescent="0.3">
      <c r="B10" s="43"/>
      <c r="C10" s="77">
        <v>0.75</v>
      </c>
      <c r="D10" s="78">
        <f>IF($C$1=1,D37,IF($C$1=2,D64,IF($C$1=3,D91,IF($C$1=4,D118,IF($C$1=5,D145,IF($C$1=6,#REF!))))))</f>
        <v>0</v>
      </c>
      <c r="E10" s="78">
        <f>IF($C$1=1,E37,IF($C$1=2,E64,IF($C$1=3,E91,IF($C$1=4,E118,IF($C$1=5,E145,IF($C$1=6,#REF!))))))</f>
        <v>4</v>
      </c>
      <c r="F10" s="78">
        <f>IF($C$1=1,F37,IF($C$1=2,F64,IF($C$1=3,F91,IF($C$1=4,F118,IF($C$1=5,F145,IF($C$1=6,#REF!))))))</f>
        <v>70</v>
      </c>
      <c r="G10" s="78">
        <f>IF($C$1=1,G37,IF($C$1=2,G64,IF($C$1=3,G91,IF($C$1=4,G118,IF($C$1=5,G145,IF($C$1=6,#REF!))))))</f>
        <v>101</v>
      </c>
      <c r="H10" s="78">
        <f>IF($C$1=1,H37,IF($C$1=2,H64,IF($C$1=3,H91,IF($C$1=4,H118,IF($C$1=5,H145,IF($C$1=6,#REF!))))))</f>
        <v>64</v>
      </c>
      <c r="I10" s="78">
        <f>IF($C$1=1,I37,IF($C$1=2,I64,IF($C$1=3,I91,IF($C$1=4,I118,IF($C$1=5,I145,IF($C$1=6,#REF!))))))</f>
        <v>67</v>
      </c>
      <c r="J10" s="78">
        <f>IF($C$1=1,J37,IF($C$1=2,J64,IF($C$1=3,J91,IF($C$1=4,J118,IF($C$1=5,J145,IF($C$1=6,#REF!))))))</f>
        <v>30</v>
      </c>
      <c r="K10" s="78">
        <f>IF($C$1=1,K37,IF($C$1=2,K64,IF($C$1=3,K91,IF($C$1=4,K118,IF($C$1=5,K145,IF($C$1=6,#REF!))))))</f>
        <v>4</v>
      </c>
      <c r="L10" s="78">
        <f>IF($C$1=1,L37,IF($C$1=2,L64,IF($C$1=3,L91,IF($C$1=4,L118,IF($C$1=5,L145,IF($C$1=6,#REF!))))))</f>
        <v>0</v>
      </c>
      <c r="M10" s="78">
        <f>IF($C$1=1,M37,IF($C$1=2,M64,IF($C$1=3,M91,IF($C$1=4,M118,IF($C$1=5,M145,IF($C$1=6,#REF!))))))</f>
        <v>1</v>
      </c>
      <c r="N10" s="78">
        <f>IF($C$1=1,N37,IF($C$1=2,N64,IF($C$1=3,N91,IF($C$1=4,N118,IF($C$1=5,N145,IF($C$1=6,#REF!))))))</f>
        <v>0</v>
      </c>
      <c r="O10" s="78">
        <f>IF($C$1=1,O37,IF($C$1=2,O64,IF($C$1=3,O91,IF($C$1=4,O118,IF($C$1=5,O145,IF($C$1=6,#REF!))))))</f>
        <v>1</v>
      </c>
      <c r="P10" s="78">
        <f>IF($C$1=1,P37,IF($C$1=2,P64,IF($C$1=3,P91,IF($C$1=4,P118,IF($C$1=5,P145,IF($C$1=6,#REF!))))))</f>
        <v>0</v>
      </c>
      <c r="Q10" s="78">
        <f>IF($C$1=1,Q37,IF($C$1=2,Q64,IF($C$1=3,Q91,IF($C$1=4,Q118,IF($C$1=5,Q145,IF($C$1=6,#REF!))))))</f>
        <v>0</v>
      </c>
      <c r="R10" s="78">
        <f>IF($C$1=1,R37,IF($C$1=2,R64,IF($C$1=3,R91,IF($C$1=4,R118,IF($C$1=5,R145,IF($C$1=6,#REF!))))))</f>
        <v>0</v>
      </c>
      <c r="S10" s="78">
        <f>IF($C$1=1,S37,IF($C$1=2,S64,IF($C$1=3,S91,IF($C$1=4,S118,IF($C$1=5,S145,IF($C$1=6,#REF!))))))</f>
        <v>0</v>
      </c>
      <c r="T10" s="73">
        <f t="shared" ref="T10:T28" si="0">SUM(D10:S10)</f>
        <v>342</v>
      </c>
    </row>
    <row r="11" spans="1:24" x14ac:dyDescent="0.3">
      <c r="B11" s="43"/>
      <c r="C11" s="77">
        <v>1.25</v>
      </c>
      <c r="D11" s="78">
        <f>IF($C$1=1,D38,IF($C$1=2,D65,IF($C$1=3,D92,IF($C$1=4,D119,IF($C$1=5,D146,IF($C$1=6,#REF!))))))</f>
        <v>2</v>
      </c>
      <c r="E11" s="78">
        <f>IF($C$1=1,E38,IF($C$1=2,E65,IF($C$1=3,E92,IF($C$1=4,E119,IF($C$1=5,E146,IF($C$1=6,#REF!))))))</f>
        <v>122</v>
      </c>
      <c r="F11" s="78">
        <f>IF($C$1=1,F38,IF($C$1=2,F65,IF($C$1=3,F92,IF($C$1=4,F119,IF($C$1=5,F146,IF($C$1=6,#REF!))))))</f>
        <v>342</v>
      </c>
      <c r="G11" s="78">
        <f>IF($C$1=1,G38,IF($C$1=2,G65,IF($C$1=3,G92,IF($C$1=4,G119,IF($C$1=5,G146,IF($C$1=6,#REF!))))))</f>
        <v>461</v>
      </c>
      <c r="H11" s="78">
        <f>IF($C$1=1,H38,IF($C$1=2,H65,IF($C$1=3,H92,IF($C$1=4,H119,IF($C$1=5,H146,IF($C$1=6,#REF!))))))</f>
        <v>510</v>
      </c>
      <c r="I11" s="78">
        <f>IF($C$1=1,I38,IF($C$1=2,I65,IF($C$1=3,I92,IF($C$1=4,I119,IF($C$1=5,I146,IF($C$1=6,#REF!))))))</f>
        <v>360</v>
      </c>
      <c r="J11" s="78">
        <f>IF($C$1=1,J38,IF($C$1=2,J65,IF($C$1=3,J92,IF($C$1=4,J119,IF($C$1=5,J146,IF($C$1=6,#REF!))))))</f>
        <v>182</v>
      </c>
      <c r="K11" s="78">
        <f>IF($C$1=1,K38,IF($C$1=2,K65,IF($C$1=3,K92,IF($C$1=4,K119,IF($C$1=5,K146,IF($C$1=6,#REF!))))))</f>
        <v>54</v>
      </c>
      <c r="L11" s="78">
        <f>IF($C$1=1,L38,IF($C$1=2,L65,IF($C$1=3,L92,IF($C$1=4,L119,IF($C$1=5,L146,IF($C$1=6,#REF!))))))</f>
        <v>14</v>
      </c>
      <c r="M11" s="78">
        <f>IF($C$1=1,M38,IF($C$1=2,M65,IF($C$1=3,M92,IF($C$1=4,M119,IF($C$1=5,M146,IF($C$1=6,#REF!))))))</f>
        <v>0</v>
      </c>
      <c r="N11" s="78">
        <f>IF($C$1=1,N38,IF($C$1=2,N65,IF($C$1=3,N92,IF($C$1=4,N119,IF($C$1=5,N146,IF($C$1=6,#REF!))))))</f>
        <v>0</v>
      </c>
      <c r="O11" s="78">
        <f>IF($C$1=1,O38,IF($C$1=2,O65,IF($C$1=3,O92,IF($C$1=4,O119,IF($C$1=5,O146,IF($C$1=6,#REF!))))))</f>
        <v>0</v>
      </c>
      <c r="P11" s="78">
        <f>IF($C$1=1,P38,IF($C$1=2,P65,IF($C$1=3,P92,IF($C$1=4,P119,IF($C$1=5,P146,IF($C$1=6,#REF!))))))</f>
        <v>1</v>
      </c>
      <c r="Q11" s="78">
        <f>IF($C$1=1,Q38,IF($C$1=2,Q65,IF($C$1=3,Q92,IF($C$1=4,Q119,IF($C$1=5,Q146,IF($C$1=6,#REF!))))))</f>
        <v>1</v>
      </c>
      <c r="R11" s="78">
        <f>IF($C$1=1,R38,IF($C$1=2,R65,IF($C$1=3,R92,IF($C$1=4,R119,IF($C$1=5,R146,IF($C$1=6,#REF!))))))</f>
        <v>0</v>
      </c>
      <c r="S11" s="78">
        <f>IF($C$1=1,S38,IF($C$1=2,S65,IF($C$1=3,S92,IF($C$1=4,S119,IF($C$1=5,S146,IF($C$1=6,#REF!))))))</f>
        <v>0</v>
      </c>
      <c r="T11" s="73">
        <f t="shared" si="0"/>
        <v>2049</v>
      </c>
    </row>
    <row r="12" spans="1:24" x14ac:dyDescent="0.3">
      <c r="B12" s="43"/>
      <c r="C12" s="77">
        <v>1.75</v>
      </c>
      <c r="D12" s="78">
        <f>IF($C$1=1,D39,IF($C$1=2,D66,IF($C$1=3,D93,IF($C$1=4,D120,IF($C$1=5,D147,IF($C$1=6,#REF!))))))</f>
        <v>0</v>
      </c>
      <c r="E12" s="78">
        <f>IF($C$1=1,E39,IF($C$1=2,E66,IF($C$1=3,E93,IF($C$1=4,E120,IF($C$1=5,E147,IF($C$1=6,#REF!))))))</f>
        <v>122</v>
      </c>
      <c r="F12" s="78">
        <f>IF($C$1=1,F39,IF($C$1=2,F66,IF($C$1=3,F93,IF($C$1=4,F120,IF($C$1=5,F147,IF($C$1=6,#REF!))))))</f>
        <v>553</v>
      </c>
      <c r="G12" s="78">
        <f>IF($C$1=1,G39,IF($C$1=2,G66,IF($C$1=3,G93,IF($C$1=4,G120,IF($C$1=5,G147,IF($C$1=6,#REF!))))))</f>
        <v>534</v>
      </c>
      <c r="H12" s="78">
        <f>IF($C$1=1,H39,IF($C$1=2,H66,IF($C$1=3,H93,IF($C$1=4,H120,IF($C$1=5,H147,IF($C$1=6,#REF!))))))</f>
        <v>513</v>
      </c>
      <c r="I12" s="78">
        <f>IF($C$1=1,I39,IF($C$1=2,I66,IF($C$1=3,I93,IF($C$1=4,I120,IF($C$1=5,I147,IF($C$1=6,#REF!))))))</f>
        <v>430</v>
      </c>
      <c r="J12" s="78">
        <f>IF($C$1=1,J39,IF($C$1=2,J66,IF($C$1=3,J93,IF($C$1=4,J120,IF($C$1=5,J147,IF($C$1=6,#REF!))))))</f>
        <v>252</v>
      </c>
      <c r="K12" s="78">
        <f>IF($C$1=1,K39,IF($C$1=2,K66,IF($C$1=3,K93,IF($C$1=4,K120,IF($C$1=5,K147,IF($C$1=6,#REF!))))))</f>
        <v>141</v>
      </c>
      <c r="L12" s="78">
        <f>IF($C$1=1,L39,IF($C$1=2,L66,IF($C$1=3,L93,IF($C$1=4,L120,IF($C$1=5,L147,IF($C$1=6,#REF!))))))</f>
        <v>80</v>
      </c>
      <c r="M12" s="78">
        <f>IF($C$1=1,M39,IF($C$1=2,M66,IF($C$1=3,M93,IF($C$1=4,M120,IF($C$1=5,M147,IF($C$1=6,#REF!))))))</f>
        <v>7</v>
      </c>
      <c r="N12" s="78">
        <f>IF($C$1=1,N39,IF($C$1=2,N66,IF($C$1=3,N93,IF($C$1=4,N120,IF($C$1=5,N147,IF($C$1=6,#REF!))))))</f>
        <v>0</v>
      </c>
      <c r="O12" s="78">
        <f>IF($C$1=1,O39,IF($C$1=2,O66,IF($C$1=3,O93,IF($C$1=4,O120,IF($C$1=5,O147,IF($C$1=6,#REF!))))))</f>
        <v>0</v>
      </c>
      <c r="P12" s="78">
        <f>IF($C$1=1,P39,IF($C$1=2,P66,IF($C$1=3,P93,IF($C$1=4,P120,IF($C$1=5,P147,IF($C$1=6,#REF!))))))</f>
        <v>0</v>
      </c>
      <c r="Q12" s="78">
        <f>IF($C$1=1,Q39,IF($C$1=2,Q66,IF($C$1=3,Q93,IF($C$1=4,Q120,IF($C$1=5,Q147,IF($C$1=6,#REF!))))))</f>
        <v>1</v>
      </c>
      <c r="R12" s="78">
        <f>IF($C$1=1,R39,IF($C$1=2,R66,IF($C$1=3,R93,IF($C$1=4,R120,IF($C$1=5,R147,IF($C$1=6,#REF!))))))</f>
        <v>0</v>
      </c>
      <c r="S12" s="78">
        <f>IF($C$1=1,S39,IF($C$1=2,S66,IF($C$1=3,S93,IF($C$1=4,S120,IF($C$1=5,S147,IF($C$1=6,#REF!))))))</f>
        <v>0</v>
      </c>
      <c r="T12" s="73">
        <f t="shared" si="0"/>
        <v>2633</v>
      </c>
    </row>
    <row r="13" spans="1:24" x14ac:dyDescent="0.3">
      <c r="B13" s="43"/>
      <c r="C13" s="77">
        <v>2.25</v>
      </c>
      <c r="D13" s="78">
        <f>IF($C$1=1,D40,IF($C$1=2,D67,IF($C$1=3,D94,IF($C$1=4,D121,IF($C$1=5,D148,IF($C$1=6,#REF!))))))</f>
        <v>0</v>
      </c>
      <c r="E13" s="78">
        <f>IF($C$1=1,E40,IF($C$1=2,E67,IF($C$1=3,E94,IF($C$1=4,E121,IF($C$1=5,E148,IF($C$1=6,#REF!))))))</f>
        <v>30</v>
      </c>
      <c r="F13" s="78">
        <f>IF($C$1=1,F40,IF($C$1=2,F67,IF($C$1=3,F94,IF($C$1=4,F121,IF($C$1=5,F148,IF($C$1=6,#REF!))))))</f>
        <v>437</v>
      </c>
      <c r="G13" s="78">
        <f>IF($C$1=1,G40,IF($C$1=2,G67,IF($C$1=3,G94,IF($C$1=4,G121,IF($C$1=5,G148,IF($C$1=6,#REF!))))))</f>
        <v>531</v>
      </c>
      <c r="H13" s="78">
        <f>IF($C$1=1,H40,IF($C$1=2,H67,IF($C$1=3,H94,IF($C$1=4,H121,IF($C$1=5,H148,IF($C$1=6,#REF!))))))</f>
        <v>454</v>
      </c>
      <c r="I13" s="78">
        <f>IF($C$1=1,I40,IF($C$1=2,I67,IF($C$1=3,I94,IF($C$1=4,I121,IF($C$1=5,I148,IF($C$1=6,#REF!))))))</f>
        <v>511</v>
      </c>
      <c r="J13" s="78">
        <f>IF($C$1=1,J40,IF($C$1=2,J67,IF($C$1=3,J94,IF($C$1=4,J121,IF($C$1=5,J148,IF($C$1=6,#REF!))))))</f>
        <v>395</v>
      </c>
      <c r="K13" s="78">
        <f>IF($C$1=1,K40,IF($C$1=2,K67,IF($C$1=3,K94,IF($C$1=4,K121,IF($C$1=5,K148,IF($C$1=6,#REF!))))))</f>
        <v>186</v>
      </c>
      <c r="L13" s="78">
        <f>IF($C$1=1,L40,IF($C$1=2,L67,IF($C$1=3,L94,IF($C$1=4,L121,IF($C$1=5,L148,IF($C$1=6,#REF!))))))</f>
        <v>148</v>
      </c>
      <c r="M13" s="78">
        <f>IF($C$1=1,M40,IF($C$1=2,M67,IF($C$1=3,M94,IF($C$1=4,M121,IF($C$1=5,M148,IF($C$1=6,#REF!))))))</f>
        <v>41</v>
      </c>
      <c r="N13" s="78">
        <f>IF($C$1=1,N40,IF($C$1=2,N67,IF($C$1=3,N94,IF($C$1=4,N121,IF($C$1=5,N148,IF($C$1=6,#REF!))))))</f>
        <v>4</v>
      </c>
      <c r="O13" s="78">
        <f>IF($C$1=1,O40,IF($C$1=2,O67,IF($C$1=3,O94,IF($C$1=4,O121,IF($C$1=5,O148,IF($C$1=6,#REF!))))))</f>
        <v>2</v>
      </c>
      <c r="P13" s="78">
        <f>IF($C$1=1,P40,IF($C$1=2,P67,IF($C$1=3,P94,IF($C$1=4,P121,IF($C$1=5,P148,IF($C$1=6,#REF!))))))</f>
        <v>1</v>
      </c>
      <c r="Q13" s="78">
        <f>IF($C$1=1,Q40,IF($C$1=2,Q67,IF($C$1=3,Q94,IF($C$1=4,Q121,IF($C$1=5,Q148,IF($C$1=6,#REF!))))))</f>
        <v>0</v>
      </c>
      <c r="R13" s="78">
        <f>IF($C$1=1,R40,IF($C$1=2,R67,IF($C$1=3,R94,IF($C$1=4,R121,IF($C$1=5,R148,IF($C$1=6,#REF!))))))</f>
        <v>0</v>
      </c>
      <c r="S13" s="78">
        <f>IF($C$1=1,S40,IF($C$1=2,S67,IF($C$1=3,S94,IF($C$1=4,S121,IF($C$1=5,S148,IF($C$1=6,#REF!))))))</f>
        <v>0</v>
      </c>
      <c r="T13" s="73">
        <f t="shared" si="0"/>
        <v>2740</v>
      </c>
      <c r="X13">
        <f>800/0.8</f>
        <v>1000</v>
      </c>
    </row>
    <row r="14" spans="1:24" x14ac:dyDescent="0.3">
      <c r="B14" s="43"/>
      <c r="C14" s="77">
        <v>2.75</v>
      </c>
      <c r="D14" s="78">
        <f>IF($C$1=1,D41,IF($C$1=2,D68,IF($C$1=3,D95,IF($C$1=4,D122,IF($C$1=5,D149,IF($C$1=6,#REF!))))))</f>
        <v>0</v>
      </c>
      <c r="E14" s="78">
        <f>IF($C$1=1,E41,IF($C$1=2,E68,IF($C$1=3,E95,IF($C$1=4,E122,IF($C$1=5,E149,IF($C$1=6,#REF!))))))</f>
        <v>1</v>
      </c>
      <c r="F14" s="78">
        <f>IF($C$1=1,F41,IF($C$1=2,F68,IF($C$1=3,F95,IF($C$1=4,F122,IF($C$1=5,F149,IF($C$1=6,#REF!))))))</f>
        <v>193</v>
      </c>
      <c r="G14" s="78">
        <f>IF($C$1=1,G41,IF($C$1=2,G68,IF($C$1=3,G95,IF($C$1=4,G122,IF($C$1=5,G149,IF($C$1=6,#REF!))))))</f>
        <v>314</v>
      </c>
      <c r="H14" s="78">
        <f>IF($C$1=1,H41,IF($C$1=2,H68,IF($C$1=3,H95,IF($C$1=4,H122,IF($C$1=5,H149,IF($C$1=6,#REF!))))))</f>
        <v>243</v>
      </c>
      <c r="I14" s="78">
        <f>IF($C$1=1,I41,IF($C$1=2,I68,IF($C$1=3,I95,IF($C$1=4,I122,IF($C$1=5,I149,IF($C$1=6,#REF!))))))</f>
        <v>407</v>
      </c>
      <c r="J14" s="78">
        <f>IF($C$1=1,J41,IF($C$1=2,J68,IF($C$1=3,J95,IF($C$1=4,J122,IF($C$1=5,J149,IF($C$1=6,#REF!))))))</f>
        <v>409</v>
      </c>
      <c r="K14" s="78">
        <f>IF($C$1=1,K41,IF($C$1=2,K68,IF($C$1=3,K95,IF($C$1=4,K122,IF($C$1=5,K149,IF($C$1=6,#REF!))))))</f>
        <v>220</v>
      </c>
      <c r="L14" s="78">
        <f>IF($C$1=1,L41,IF($C$1=2,L68,IF($C$1=3,L95,IF($C$1=4,L122,IF($C$1=5,L149,IF($C$1=6,#REF!))))))</f>
        <v>142</v>
      </c>
      <c r="M14" s="78">
        <f>IF($C$1=1,M41,IF($C$1=2,M68,IF($C$1=3,M95,IF($C$1=4,M122,IF($C$1=5,M149,IF($C$1=6,#REF!))))))</f>
        <v>47</v>
      </c>
      <c r="N14" s="78">
        <f>IF($C$1=1,N41,IF($C$1=2,N68,IF($C$1=3,N95,IF($C$1=4,N122,IF($C$1=5,N149,IF($C$1=6,#REF!))))))</f>
        <v>9</v>
      </c>
      <c r="O14" s="78">
        <f>IF($C$1=1,O41,IF($C$1=2,O68,IF($C$1=3,O95,IF($C$1=4,O122,IF($C$1=5,O149,IF($C$1=6,#REF!))))))</f>
        <v>8</v>
      </c>
      <c r="P14" s="78">
        <f>IF($C$1=1,P41,IF($C$1=2,P68,IF($C$1=3,P95,IF($C$1=4,P122,IF($C$1=5,P149,IF($C$1=6,#REF!))))))</f>
        <v>0</v>
      </c>
      <c r="Q14" s="78">
        <f>IF($C$1=1,Q41,IF($C$1=2,Q68,IF($C$1=3,Q95,IF($C$1=4,Q122,IF($C$1=5,Q149,IF($C$1=6,#REF!))))))</f>
        <v>0</v>
      </c>
      <c r="R14" s="78">
        <f>IF($C$1=1,R41,IF($C$1=2,R68,IF($C$1=3,R95,IF($C$1=4,R122,IF($C$1=5,R149,IF($C$1=6,#REF!))))))</f>
        <v>0</v>
      </c>
      <c r="S14" s="78">
        <f>IF($C$1=1,S41,IF($C$1=2,S68,IF($C$1=3,S95,IF($C$1=4,S122,IF($C$1=5,S149,IF($C$1=6,#REF!))))))</f>
        <v>0</v>
      </c>
      <c r="T14" s="73">
        <f t="shared" si="0"/>
        <v>1993</v>
      </c>
      <c r="X14">
        <f>1100/0.8</f>
        <v>1375</v>
      </c>
    </row>
    <row r="15" spans="1:24" x14ac:dyDescent="0.3">
      <c r="B15" s="43"/>
      <c r="C15" s="77">
        <v>3.25</v>
      </c>
      <c r="D15" s="78">
        <f>IF($C$1=1,D42,IF($C$1=2,D69,IF($C$1=3,D96,IF($C$1=4,D123,IF($C$1=5,D150,IF($C$1=6,#REF!))))))</f>
        <v>0</v>
      </c>
      <c r="E15" s="78">
        <f>IF($C$1=1,E42,IF($C$1=2,E69,IF($C$1=3,E96,IF($C$1=4,E123,IF($C$1=5,E150,IF($C$1=6,#REF!))))))</f>
        <v>0</v>
      </c>
      <c r="F15" s="78">
        <f>IF($C$1=1,F42,IF($C$1=2,F69,IF($C$1=3,F96,IF($C$1=4,F123,IF($C$1=5,F150,IF($C$1=6,#REF!))))))</f>
        <v>15</v>
      </c>
      <c r="G15" s="78">
        <f>IF($C$1=1,G42,IF($C$1=2,G69,IF($C$1=3,G96,IF($C$1=4,G123,IF($C$1=5,G150,IF($C$1=6,#REF!))))))</f>
        <v>116</v>
      </c>
      <c r="H15" s="78">
        <f>IF($C$1=1,H42,IF($C$1=2,H69,IF($C$1=3,H96,IF($C$1=4,H123,IF($C$1=5,H150,IF($C$1=6,#REF!))))))</f>
        <v>115</v>
      </c>
      <c r="I15" s="78">
        <f>IF($C$1=1,I42,IF($C$1=2,I69,IF($C$1=3,I96,IF($C$1=4,I123,IF($C$1=5,I150,IF($C$1=6,#REF!))))))</f>
        <v>245</v>
      </c>
      <c r="J15" s="78">
        <f>IF($C$1=1,J42,IF($C$1=2,J69,IF($C$1=3,J96,IF($C$1=4,J123,IF($C$1=5,J150,IF($C$1=6,#REF!))))))</f>
        <v>298</v>
      </c>
      <c r="K15" s="78">
        <f>IF($C$1=1,K42,IF($C$1=2,K69,IF($C$1=3,K96,IF($C$1=4,K123,IF($C$1=5,K150,IF($C$1=6,#REF!))))))</f>
        <v>181</v>
      </c>
      <c r="L15" s="78">
        <f>IF($C$1=1,L42,IF($C$1=2,L69,IF($C$1=3,L96,IF($C$1=4,L123,IF($C$1=5,L150,IF($C$1=6,#REF!))))))</f>
        <v>101</v>
      </c>
      <c r="M15" s="78">
        <f>IF($C$1=1,M42,IF($C$1=2,M69,IF($C$1=3,M96,IF($C$1=4,M123,IF($C$1=5,M150,IF($C$1=6,#REF!))))))</f>
        <v>50</v>
      </c>
      <c r="N15" s="78">
        <f>IF($C$1=1,N42,IF($C$1=2,N69,IF($C$1=3,N96,IF($C$1=4,N123,IF($C$1=5,N150,IF($C$1=6,#REF!))))))</f>
        <v>18</v>
      </c>
      <c r="O15" s="78">
        <f>IF($C$1=1,O42,IF($C$1=2,O69,IF($C$1=3,O96,IF($C$1=4,O123,IF($C$1=5,O150,IF($C$1=6,#REF!))))))</f>
        <v>5</v>
      </c>
      <c r="P15" s="78">
        <f>IF($C$1=1,P42,IF($C$1=2,P69,IF($C$1=3,P96,IF($C$1=4,P123,IF($C$1=5,P150,IF($C$1=6,#REF!))))))</f>
        <v>0</v>
      </c>
      <c r="Q15" s="78">
        <f>IF($C$1=1,Q42,IF($C$1=2,Q69,IF($C$1=3,Q96,IF($C$1=4,Q123,IF($C$1=5,Q150,IF($C$1=6,#REF!))))))</f>
        <v>0</v>
      </c>
      <c r="R15" s="78">
        <f>IF($C$1=1,R42,IF($C$1=2,R69,IF($C$1=3,R96,IF($C$1=4,R123,IF($C$1=5,R150,IF($C$1=6,#REF!))))))</f>
        <v>0</v>
      </c>
      <c r="S15" s="78">
        <f>IF($C$1=1,S42,IF($C$1=2,S69,IF($C$1=3,S96,IF($C$1=4,S123,IF($C$1=5,S150,IF($C$1=6,#REF!))))))</f>
        <v>0</v>
      </c>
      <c r="T15" s="73">
        <f t="shared" si="0"/>
        <v>1144</v>
      </c>
    </row>
    <row r="16" spans="1:24" x14ac:dyDescent="0.3">
      <c r="B16" s="43"/>
      <c r="C16" s="77">
        <v>3.75</v>
      </c>
      <c r="D16" s="78">
        <f>IF($C$1=1,D43,IF($C$1=2,D70,IF($C$1=3,D97,IF($C$1=4,D124,IF($C$1=5,D151,IF($C$1=6,#REF!))))))</f>
        <v>0</v>
      </c>
      <c r="E16" s="78">
        <f>IF($C$1=1,E43,IF($C$1=2,E70,IF($C$1=3,E97,IF($C$1=4,E124,IF($C$1=5,E151,IF($C$1=6,#REF!))))))</f>
        <v>0</v>
      </c>
      <c r="F16" s="78">
        <f>IF($C$1=1,F43,IF($C$1=2,F70,IF($C$1=3,F97,IF($C$1=4,F124,IF($C$1=5,F151,IF($C$1=6,#REF!))))))</f>
        <v>2</v>
      </c>
      <c r="G16" s="78">
        <f>IF($C$1=1,G43,IF($C$1=2,G70,IF($C$1=3,G97,IF($C$1=4,G124,IF($C$1=5,G151,IF($C$1=6,#REF!))))))</f>
        <v>11</v>
      </c>
      <c r="H16" s="78">
        <f>IF($C$1=1,H43,IF($C$1=2,H70,IF($C$1=3,H97,IF($C$1=4,H124,IF($C$1=5,H151,IF($C$1=6,#REF!))))))</f>
        <v>29</v>
      </c>
      <c r="I16" s="78">
        <f>IF($C$1=1,I43,IF($C$1=2,I70,IF($C$1=3,I97,IF($C$1=4,I124,IF($C$1=5,I151,IF($C$1=6,#REF!))))))</f>
        <v>127</v>
      </c>
      <c r="J16" s="78">
        <f>IF($C$1=1,J43,IF($C$1=2,J70,IF($C$1=3,J97,IF($C$1=4,J124,IF($C$1=5,J151,IF($C$1=6,#REF!))))))</f>
        <v>242</v>
      </c>
      <c r="K16" s="78">
        <f>IF($C$1=1,K43,IF($C$1=2,K70,IF($C$1=3,K97,IF($C$1=4,K124,IF($C$1=5,K151,IF($C$1=6,#REF!))))))</f>
        <v>189</v>
      </c>
      <c r="L16" s="78">
        <f>IF($C$1=1,L43,IF($C$1=2,L70,IF($C$1=3,L97,IF($C$1=4,L124,IF($C$1=5,L151,IF($C$1=6,#REF!))))))</f>
        <v>66</v>
      </c>
      <c r="M16" s="78">
        <f>IF($C$1=1,M43,IF($C$1=2,M70,IF($C$1=3,M97,IF($C$1=4,M124,IF($C$1=5,M151,IF($C$1=6,#REF!))))))</f>
        <v>41</v>
      </c>
      <c r="N16" s="78">
        <f>IF($C$1=1,N43,IF($C$1=2,N70,IF($C$1=3,N97,IF($C$1=4,N124,IF($C$1=5,N151,IF($C$1=6,#REF!))))))</f>
        <v>28</v>
      </c>
      <c r="O16" s="78">
        <f>IF($C$1=1,O43,IF($C$1=2,O70,IF($C$1=3,O97,IF($C$1=4,O124,IF($C$1=5,O151,IF($C$1=6,#REF!))))))</f>
        <v>7</v>
      </c>
      <c r="P16" s="78">
        <f>IF($C$1=1,P43,IF($C$1=2,P70,IF($C$1=3,P97,IF($C$1=4,P124,IF($C$1=5,P151,IF($C$1=6,#REF!))))))</f>
        <v>0</v>
      </c>
      <c r="Q16" s="78">
        <f>IF($C$1=1,Q43,IF($C$1=2,Q70,IF($C$1=3,Q97,IF($C$1=4,Q124,IF($C$1=5,Q151,IF($C$1=6,#REF!))))))</f>
        <v>0</v>
      </c>
      <c r="R16" s="78">
        <f>IF($C$1=1,R43,IF($C$1=2,R70,IF($C$1=3,R97,IF($C$1=4,R124,IF($C$1=5,R151,IF($C$1=6,#REF!))))))</f>
        <v>0</v>
      </c>
      <c r="S16" s="78">
        <f>IF($C$1=1,S43,IF($C$1=2,S70,IF($C$1=3,S97,IF($C$1=4,S124,IF($C$1=5,S151,IF($C$1=6,#REF!))))))</f>
        <v>0</v>
      </c>
      <c r="T16" s="73">
        <f t="shared" si="0"/>
        <v>742</v>
      </c>
    </row>
    <row r="17" spans="1:20" x14ac:dyDescent="0.3">
      <c r="B17" s="43"/>
      <c r="C17" s="77">
        <v>4.25</v>
      </c>
      <c r="D17" s="78">
        <f>IF($C$1=1,D44,IF($C$1=2,D71,IF($C$1=3,D98,IF($C$1=4,D125,IF($C$1=5,D152,IF($C$1=6,#REF!))))))</f>
        <v>0</v>
      </c>
      <c r="E17" s="78">
        <f>IF($C$1=1,E44,IF($C$1=2,E71,IF($C$1=3,E98,IF($C$1=4,E125,IF($C$1=5,E152,IF($C$1=6,#REF!))))))</f>
        <v>0</v>
      </c>
      <c r="F17" s="78">
        <f>IF($C$1=1,F44,IF($C$1=2,F71,IF($C$1=3,F98,IF($C$1=4,F125,IF($C$1=5,F152,IF($C$1=6,#REF!))))))</f>
        <v>0</v>
      </c>
      <c r="G17" s="78">
        <f>IF($C$1=1,G44,IF($C$1=2,G71,IF($C$1=3,G98,IF($C$1=4,G125,IF($C$1=5,G152,IF($C$1=6,#REF!))))))</f>
        <v>1</v>
      </c>
      <c r="H17" s="78">
        <f>IF($C$1=1,H44,IF($C$1=2,H71,IF($C$1=3,H98,IF($C$1=4,H125,IF($C$1=5,H152,IF($C$1=6,#REF!))))))</f>
        <v>6</v>
      </c>
      <c r="I17" s="78">
        <f>IF($C$1=1,I44,IF($C$1=2,I71,IF($C$1=3,I98,IF($C$1=4,I125,IF($C$1=5,I152,IF($C$1=6,#REF!))))))</f>
        <v>27</v>
      </c>
      <c r="J17" s="78">
        <f>IF($C$1=1,J44,IF($C$1=2,J71,IF($C$1=3,J98,IF($C$1=4,J125,IF($C$1=5,J152,IF($C$1=6,#REF!))))))</f>
        <v>125</v>
      </c>
      <c r="K17" s="78">
        <f>IF($C$1=1,K44,IF($C$1=2,K71,IF($C$1=3,K98,IF($C$1=4,K125,IF($C$1=5,K152,IF($C$1=6,#REF!))))))</f>
        <v>160</v>
      </c>
      <c r="L17" s="78">
        <f>IF($C$1=1,L44,IF($C$1=2,L71,IF($C$1=3,L98,IF($C$1=4,L125,IF($C$1=5,L152,IF($C$1=6,#REF!))))))</f>
        <v>69</v>
      </c>
      <c r="M17" s="78">
        <f>IF($C$1=1,M44,IF($C$1=2,M71,IF($C$1=3,M98,IF($C$1=4,M125,IF($C$1=5,M152,IF($C$1=6,#REF!))))))</f>
        <v>37</v>
      </c>
      <c r="N17" s="78">
        <f>IF($C$1=1,N44,IF($C$1=2,N71,IF($C$1=3,N98,IF($C$1=4,N125,IF($C$1=5,N152,IF($C$1=6,#REF!))))))</f>
        <v>19</v>
      </c>
      <c r="O17" s="78">
        <f>IF($C$1=1,O44,IF($C$1=2,O71,IF($C$1=3,O98,IF($C$1=4,O125,IF($C$1=5,O152,IF($C$1=6,#REF!))))))</f>
        <v>11</v>
      </c>
      <c r="P17" s="78">
        <f>IF($C$1=1,P44,IF($C$1=2,P71,IF($C$1=3,P98,IF($C$1=4,P125,IF($C$1=5,P152,IF($C$1=6,#REF!))))))</f>
        <v>4</v>
      </c>
      <c r="Q17" s="78">
        <f>IF($C$1=1,Q44,IF($C$1=2,Q71,IF($C$1=3,Q98,IF($C$1=4,Q125,IF($C$1=5,Q152,IF($C$1=6,#REF!))))))</f>
        <v>0</v>
      </c>
      <c r="R17" s="78">
        <f>IF($C$1=1,R44,IF($C$1=2,R71,IF($C$1=3,R98,IF($C$1=4,R125,IF($C$1=5,R152,IF($C$1=6,#REF!))))))</f>
        <v>0</v>
      </c>
      <c r="S17" s="78">
        <f>IF($C$1=1,S44,IF($C$1=2,S71,IF($C$1=3,S98,IF($C$1=4,S125,IF($C$1=5,S152,IF($C$1=6,#REF!))))))</f>
        <v>0</v>
      </c>
      <c r="T17" s="73">
        <f t="shared" si="0"/>
        <v>459</v>
      </c>
    </row>
    <row r="18" spans="1:20" x14ac:dyDescent="0.3">
      <c r="B18" s="43"/>
      <c r="C18" s="77">
        <v>4.75</v>
      </c>
      <c r="D18" s="78">
        <f>IF($C$1=1,D45,IF($C$1=2,D72,IF($C$1=3,D99,IF($C$1=4,D126,IF($C$1=5,D153,IF($C$1=6,#REF!))))))</f>
        <v>0</v>
      </c>
      <c r="E18" s="78">
        <f>IF($C$1=1,E45,IF($C$1=2,E72,IF($C$1=3,E99,IF($C$1=4,E126,IF($C$1=5,E153,IF($C$1=6,#REF!))))))</f>
        <v>0</v>
      </c>
      <c r="F18" s="78">
        <f>IF($C$1=1,F45,IF($C$1=2,F72,IF($C$1=3,F99,IF($C$1=4,F126,IF($C$1=5,F153,IF($C$1=6,#REF!))))))</f>
        <v>0</v>
      </c>
      <c r="G18" s="78">
        <f>IF($C$1=1,G45,IF($C$1=2,G72,IF($C$1=3,G99,IF($C$1=4,G126,IF($C$1=5,G153,IF($C$1=6,#REF!))))))</f>
        <v>0</v>
      </c>
      <c r="H18" s="78">
        <f>IF($C$1=1,H45,IF($C$1=2,H72,IF($C$1=3,H99,IF($C$1=4,H126,IF($C$1=5,H153,IF($C$1=6,#REF!))))))</f>
        <v>2</v>
      </c>
      <c r="I18" s="78">
        <f>IF($C$1=1,I45,IF($C$1=2,I72,IF($C$1=3,I99,IF($C$1=4,I126,IF($C$1=5,I153,IF($C$1=6,#REF!))))))</f>
        <v>5</v>
      </c>
      <c r="J18" s="78">
        <f>IF($C$1=1,J45,IF($C$1=2,J72,IF($C$1=3,J99,IF($C$1=4,J126,IF($C$1=5,J153,IF($C$1=6,#REF!))))))</f>
        <v>40</v>
      </c>
      <c r="K18" s="78">
        <f>IF($C$1=1,K45,IF($C$1=2,K72,IF($C$1=3,K99,IF($C$1=4,K126,IF($C$1=5,K153,IF($C$1=6,#REF!))))))</f>
        <v>55</v>
      </c>
      <c r="L18" s="78">
        <f>IF($C$1=1,L45,IF($C$1=2,L72,IF($C$1=3,L99,IF($C$1=4,L126,IF($C$1=5,L153,IF($C$1=6,#REF!))))))</f>
        <v>47</v>
      </c>
      <c r="M18" s="78">
        <f>IF($C$1=1,M45,IF($C$1=2,M72,IF($C$1=3,M99,IF($C$1=4,M126,IF($C$1=5,M153,IF($C$1=6,#REF!))))))</f>
        <v>29</v>
      </c>
      <c r="N18" s="78">
        <f>IF($C$1=1,N45,IF($C$1=2,N72,IF($C$1=3,N99,IF($C$1=4,N126,IF($C$1=5,N153,IF($C$1=6,#REF!))))))</f>
        <v>16</v>
      </c>
      <c r="O18" s="78">
        <f>IF($C$1=1,O45,IF($C$1=2,O72,IF($C$1=3,O99,IF($C$1=4,O126,IF($C$1=5,O153,IF($C$1=6,#REF!))))))</f>
        <v>8</v>
      </c>
      <c r="P18" s="78">
        <f>IF($C$1=1,P45,IF($C$1=2,P72,IF($C$1=3,P99,IF($C$1=4,P126,IF($C$1=5,P153,IF($C$1=6,#REF!))))))</f>
        <v>1</v>
      </c>
      <c r="Q18" s="78">
        <f>IF($C$1=1,Q45,IF($C$1=2,Q72,IF($C$1=3,Q99,IF($C$1=4,Q126,IF($C$1=5,Q153,IF($C$1=6,#REF!))))))</f>
        <v>0</v>
      </c>
      <c r="R18" s="78">
        <f>IF($C$1=1,R45,IF($C$1=2,R72,IF($C$1=3,R99,IF($C$1=4,R126,IF($C$1=5,R153,IF($C$1=6,#REF!))))))</f>
        <v>0</v>
      </c>
      <c r="S18" s="78">
        <f>IF($C$1=1,S45,IF($C$1=2,S72,IF($C$1=3,S99,IF($C$1=4,S126,IF($C$1=5,S153,IF($C$1=6,#REF!))))))</f>
        <v>0</v>
      </c>
      <c r="T18" s="73">
        <f t="shared" si="0"/>
        <v>203</v>
      </c>
    </row>
    <row r="19" spans="1:20" x14ac:dyDescent="0.3">
      <c r="B19" s="43"/>
      <c r="C19" s="77">
        <v>5.25</v>
      </c>
      <c r="D19" s="78">
        <f>IF($C$1=1,D46,IF($C$1=2,D73,IF($C$1=3,D100,IF($C$1=4,D127,IF($C$1=5,D154,IF($C$1=6,#REF!))))))</f>
        <v>0</v>
      </c>
      <c r="E19" s="78">
        <f>IF($C$1=1,E46,IF($C$1=2,E73,IF($C$1=3,E100,IF($C$1=4,E127,IF($C$1=5,E154,IF($C$1=6,#REF!))))))</f>
        <v>0</v>
      </c>
      <c r="F19" s="78">
        <f>IF($C$1=1,F46,IF($C$1=2,F73,IF($C$1=3,F100,IF($C$1=4,F127,IF($C$1=5,F154,IF($C$1=6,#REF!))))))</f>
        <v>0</v>
      </c>
      <c r="G19" s="78">
        <f>IF($C$1=1,G46,IF($C$1=2,G73,IF($C$1=3,G100,IF($C$1=4,G127,IF($C$1=5,G154,IF($C$1=6,#REF!))))))</f>
        <v>0</v>
      </c>
      <c r="H19" s="78">
        <f>IF($C$1=1,H46,IF($C$1=2,H73,IF($C$1=3,H100,IF($C$1=4,H127,IF($C$1=5,H154,IF($C$1=6,#REF!))))))</f>
        <v>0</v>
      </c>
      <c r="I19" s="78">
        <f>IF($C$1=1,I46,IF($C$1=2,I73,IF($C$1=3,I100,IF($C$1=4,I127,IF($C$1=5,I154,IF($C$1=6,#REF!))))))</f>
        <v>2</v>
      </c>
      <c r="J19" s="78">
        <f>IF($C$1=1,J46,IF($C$1=2,J73,IF($C$1=3,J100,IF($C$1=4,J127,IF($C$1=5,J154,IF($C$1=6,#REF!))))))</f>
        <v>16</v>
      </c>
      <c r="K19" s="78">
        <f>IF($C$1=1,K46,IF($C$1=2,K73,IF($C$1=3,K100,IF($C$1=4,K127,IF($C$1=5,K154,IF($C$1=6,#REF!))))))</f>
        <v>26</v>
      </c>
      <c r="L19" s="78">
        <f>IF($C$1=1,L46,IF($C$1=2,L73,IF($C$1=3,L100,IF($C$1=4,L127,IF($C$1=5,L154,IF($C$1=6,#REF!))))))</f>
        <v>32</v>
      </c>
      <c r="M19" s="78">
        <f>IF($C$1=1,M46,IF($C$1=2,M73,IF($C$1=3,M100,IF($C$1=4,M127,IF($C$1=5,M154,IF($C$1=6,#REF!))))))</f>
        <v>20</v>
      </c>
      <c r="N19" s="78">
        <f>IF($C$1=1,N46,IF($C$1=2,N73,IF($C$1=3,N100,IF($C$1=4,N127,IF($C$1=5,N154,IF($C$1=6,#REF!))))))</f>
        <v>8</v>
      </c>
      <c r="O19" s="78">
        <f>IF($C$1=1,O46,IF($C$1=2,O73,IF($C$1=3,O100,IF($C$1=4,O127,IF($C$1=5,O154,IF($C$1=6,#REF!))))))</f>
        <v>3</v>
      </c>
      <c r="P19" s="78">
        <f>IF($C$1=1,P46,IF($C$1=2,P73,IF($C$1=3,P100,IF($C$1=4,P127,IF($C$1=5,P154,IF($C$1=6,#REF!))))))</f>
        <v>2</v>
      </c>
      <c r="Q19" s="78">
        <f>IF($C$1=1,Q46,IF($C$1=2,Q73,IF($C$1=3,Q100,IF($C$1=4,Q127,IF($C$1=5,Q154,IF($C$1=6,#REF!))))))</f>
        <v>0</v>
      </c>
      <c r="R19" s="78">
        <f>IF($C$1=1,R46,IF($C$1=2,R73,IF($C$1=3,R100,IF($C$1=4,R127,IF($C$1=5,R154,IF($C$1=6,#REF!))))))</f>
        <v>0</v>
      </c>
      <c r="S19" s="78">
        <f>IF($C$1=1,S46,IF($C$1=2,S73,IF($C$1=3,S100,IF($C$1=4,S127,IF($C$1=5,S154,IF($C$1=6,#REF!))))))</f>
        <v>0</v>
      </c>
      <c r="T19" s="73">
        <f t="shared" si="0"/>
        <v>109</v>
      </c>
    </row>
    <row r="20" spans="1:20" x14ac:dyDescent="0.3">
      <c r="B20" s="43"/>
      <c r="C20" s="77">
        <v>5.75</v>
      </c>
      <c r="D20" s="78">
        <f>IF($C$1=1,D47,IF($C$1=2,D74,IF($C$1=3,D101,IF($C$1=4,D128,IF($C$1=5,D155,IF($C$1=6,#REF!))))))</f>
        <v>0</v>
      </c>
      <c r="E20" s="78">
        <f>IF($C$1=1,E47,IF($C$1=2,E74,IF($C$1=3,E101,IF($C$1=4,E128,IF($C$1=5,E155,IF($C$1=6,#REF!))))))</f>
        <v>0</v>
      </c>
      <c r="F20" s="78">
        <f>IF($C$1=1,F47,IF($C$1=2,F74,IF($C$1=3,F101,IF($C$1=4,F128,IF($C$1=5,F155,IF($C$1=6,#REF!))))))</f>
        <v>0</v>
      </c>
      <c r="G20" s="78">
        <f>IF($C$1=1,G47,IF($C$1=2,G74,IF($C$1=3,G101,IF($C$1=4,G128,IF($C$1=5,G155,IF($C$1=6,#REF!))))))</f>
        <v>0</v>
      </c>
      <c r="H20" s="78">
        <f>IF($C$1=1,H47,IF($C$1=2,H74,IF($C$1=3,H101,IF($C$1=4,H128,IF($C$1=5,H155,IF($C$1=6,#REF!))))))</f>
        <v>0</v>
      </c>
      <c r="I20" s="78">
        <f>IF($C$1=1,I47,IF($C$1=2,I74,IF($C$1=3,I101,IF($C$1=4,I128,IF($C$1=5,I155,IF($C$1=6,#REF!))))))</f>
        <v>1</v>
      </c>
      <c r="J20" s="78">
        <f>IF($C$1=1,J47,IF($C$1=2,J74,IF($C$1=3,J101,IF($C$1=4,J128,IF($C$1=5,J155,IF($C$1=6,#REF!))))))</f>
        <v>6</v>
      </c>
      <c r="K20" s="78">
        <f>IF($C$1=1,K47,IF($C$1=2,K74,IF($C$1=3,K101,IF($C$1=4,K128,IF($C$1=5,K155,IF($C$1=6,#REF!))))))</f>
        <v>19</v>
      </c>
      <c r="L20" s="78">
        <f>IF($C$1=1,L47,IF($C$1=2,L74,IF($C$1=3,L101,IF($C$1=4,L128,IF($C$1=5,L155,IF($C$1=6,#REF!))))))</f>
        <v>13</v>
      </c>
      <c r="M20" s="78">
        <f>IF($C$1=1,M47,IF($C$1=2,M74,IF($C$1=3,M101,IF($C$1=4,M128,IF($C$1=5,M155,IF($C$1=6,#REF!))))))</f>
        <v>18</v>
      </c>
      <c r="N20" s="78">
        <f>IF($C$1=1,N47,IF($C$1=2,N74,IF($C$1=3,N101,IF($C$1=4,N128,IF($C$1=5,N155,IF($C$1=6,#REF!))))))</f>
        <v>10</v>
      </c>
      <c r="O20" s="78">
        <f>IF($C$1=1,O47,IF($C$1=2,O74,IF($C$1=3,O101,IF($C$1=4,O128,IF($C$1=5,O155,IF($C$1=6,#REF!))))))</f>
        <v>1</v>
      </c>
      <c r="P20" s="78">
        <f>IF($C$1=1,P47,IF($C$1=2,P74,IF($C$1=3,P101,IF($C$1=4,P128,IF($C$1=5,P155,IF($C$1=6,#REF!))))))</f>
        <v>1</v>
      </c>
      <c r="Q20" s="78">
        <f>IF($C$1=1,Q47,IF($C$1=2,Q74,IF($C$1=3,Q101,IF($C$1=4,Q128,IF($C$1=5,Q155,IF($C$1=6,#REF!))))))</f>
        <v>0</v>
      </c>
      <c r="R20" s="78">
        <f>IF($C$1=1,R47,IF($C$1=2,R74,IF($C$1=3,R101,IF($C$1=4,R128,IF($C$1=5,R155,IF($C$1=6,#REF!))))))</f>
        <v>0</v>
      </c>
      <c r="S20" s="78">
        <f>IF($C$1=1,S47,IF($C$1=2,S74,IF($C$1=3,S101,IF($C$1=4,S128,IF($C$1=5,S155,IF($C$1=6,#REF!))))))</f>
        <v>0</v>
      </c>
      <c r="T20" s="73">
        <f t="shared" si="0"/>
        <v>69</v>
      </c>
    </row>
    <row r="21" spans="1:20" x14ac:dyDescent="0.3">
      <c r="B21" s="43"/>
      <c r="C21" s="77">
        <v>6.25</v>
      </c>
      <c r="D21" s="78">
        <f>IF($C$1=1,D48,IF($C$1=2,D75,IF($C$1=3,D102,IF($C$1=4,D129,IF($C$1=5,D156,IF($C$1=6,#REF!))))))</f>
        <v>0</v>
      </c>
      <c r="E21" s="78">
        <f>IF($C$1=1,E48,IF($C$1=2,E75,IF($C$1=3,E102,IF($C$1=4,E129,IF($C$1=5,E156,IF($C$1=6,#REF!))))))</f>
        <v>0</v>
      </c>
      <c r="F21" s="78">
        <f>IF($C$1=1,F48,IF($C$1=2,F75,IF($C$1=3,F102,IF($C$1=4,F129,IF($C$1=5,F156,IF($C$1=6,#REF!))))))</f>
        <v>0</v>
      </c>
      <c r="G21" s="78">
        <f>IF($C$1=1,G48,IF($C$1=2,G75,IF($C$1=3,G102,IF($C$1=4,G129,IF($C$1=5,G156,IF($C$1=6,#REF!))))))</f>
        <v>0</v>
      </c>
      <c r="H21" s="78">
        <f>IF($C$1=1,H48,IF($C$1=2,H75,IF($C$1=3,H102,IF($C$1=4,H129,IF($C$1=5,H156,IF($C$1=6,#REF!))))))</f>
        <v>0</v>
      </c>
      <c r="I21" s="78">
        <f>IF($C$1=1,I48,IF($C$1=2,I75,IF($C$1=3,I102,IF($C$1=4,I129,IF($C$1=5,I156,IF($C$1=6,#REF!))))))</f>
        <v>0</v>
      </c>
      <c r="J21" s="78">
        <f>IF($C$1=1,J48,IF($C$1=2,J75,IF($C$1=3,J102,IF($C$1=4,J129,IF($C$1=5,J156,IF($C$1=6,#REF!))))))</f>
        <v>3</v>
      </c>
      <c r="K21" s="78">
        <f>IF($C$1=1,K48,IF($C$1=2,K75,IF($C$1=3,K102,IF($C$1=4,K129,IF($C$1=5,K156,IF($C$1=6,#REF!))))))</f>
        <v>8</v>
      </c>
      <c r="L21" s="78">
        <f>IF($C$1=1,L48,IF($C$1=2,L75,IF($C$1=3,L102,IF($C$1=4,L129,IF($C$1=5,L156,IF($C$1=6,#REF!))))))</f>
        <v>10</v>
      </c>
      <c r="M21" s="78">
        <f>IF($C$1=1,M48,IF($C$1=2,M75,IF($C$1=3,M102,IF($C$1=4,M129,IF($C$1=5,M156,IF($C$1=6,#REF!))))))</f>
        <v>16</v>
      </c>
      <c r="N21" s="78">
        <f>IF($C$1=1,N48,IF($C$1=2,N75,IF($C$1=3,N102,IF($C$1=4,N129,IF($C$1=5,N156,IF($C$1=6,#REF!))))))</f>
        <v>6</v>
      </c>
      <c r="O21" s="78">
        <f>IF($C$1=1,O48,IF($C$1=2,O75,IF($C$1=3,O102,IF($C$1=4,O129,IF($C$1=5,O156,IF($C$1=6,#REF!))))))</f>
        <v>1</v>
      </c>
      <c r="P21" s="78">
        <f>IF($C$1=1,P48,IF($C$1=2,P75,IF($C$1=3,P102,IF($C$1=4,P129,IF($C$1=5,P156,IF($C$1=6,#REF!))))))</f>
        <v>0</v>
      </c>
      <c r="Q21" s="78">
        <f>IF($C$1=1,Q48,IF($C$1=2,Q75,IF($C$1=3,Q102,IF($C$1=4,Q129,IF($C$1=5,Q156,IF($C$1=6,#REF!))))))</f>
        <v>0</v>
      </c>
      <c r="R21" s="78">
        <f>IF($C$1=1,R48,IF($C$1=2,R75,IF($C$1=3,R102,IF($C$1=4,R129,IF($C$1=5,R156,IF($C$1=6,#REF!))))))</f>
        <v>0</v>
      </c>
      <c r="S21" s="78">
        <f>IF($C$1=1,S48,IF($C$1=2,S75,IF($C$1=3,S102,IF($C$1=4,S129,IF($C$1=5,S156,IF($C$1=6,#REF!))))))</f>
        <v>0</v>
      </c>
      <c r="T21" s="73">
        <f t="shared" si="0"/>
        <v>44</v>
      </c>
    </row>
    <row r="22" spans="1:20" x14ac:dyDescent="0.3">
      <c r="B22" s="43"/>
      <c r="C22" s="77">
        <v>6.75</v>
      </c>
      <c r="D22" s="78">
        <f>IF($C$1=1,D49,IF($C$1=2,D76,IF($C$1=3,D103,IF($C$1=4,D130,IF($C$1=5,D157,IF($C$1=6,#REF!))))))</f>
        <v>0</v>
      </c>
      <c r="E22" s="78">
        <f>IF($C$1=1,E49,IF($C$1=2,E76,IF($C$1=3,E103,IF($C$1=4,E130,IF($C$1=5,E157,IF($C$1=6,#REF!))))))</f>
        <v>0</v>
      </c>
      <c r="F22" s="78">
        <f>IF($C$1=1,F49,IF($C$1=2,F76,IF($C$1=3,F103,IF($C$1=4,F130,IF($C$1=5,F157,IF($C$1=6,#REF!))))))</f>
        <v>0</v>
      </c>
      <c r="G22" s="78">
        <f>IF($C$1=1,G49,IF($C$1=2,G76,IF($C$1=3,G103,IF($C$1=4,G130,IF($C$1=5,G157,IF($C$1=6,#REF!))))))</f>
        <v>0</v>
      </c>
      <c r="H22" s="78">
        <f>IF($C$1=1,H49,IF($C$1=2,H76,IF($C$1=3,H103,IF($C$1=4,H130,IF($C$1=5,H157,IF($C$1=6,#REF!))))))</f>
        <v>0</v>
      </c>
      <c r="I22" s="78">
        <f>IF($C$1=1,I49,IF($C$1=2,I76,IF($C$1=3,I103,IF($C$1=4,I130,IF($C$1=5,I157,IF($C$1=6,#REF!))))))</f>
        <v>0</v>
      </c>
      <c r="J22" s="78">
        <f>IF($C$1=1,J49,IF($C$1=2,J76,IF($C$1=3,J103,IF($C$1=4,J130,IF($C$1=5,J157,IF($C$1=6,#REF!))))))</f>
        <v>0</v>
      </c>
      <c r="K22" s="78">
        <f>IF($C$1=1,K49,IF($C$1=2,K76,IF($C$1=3,K103,IF($C$1=4,K130,IF($C$1=5,K157,IF($C$1=6,#REF!))))))</f>
        <v>0</v>
      </c>
      <c r="L22" s="78">
        <f>IF($C$1=1,L49,IF($C$1=2,L76,IF($C$1=3,L103,IF($C$1=4,L130,IF($C$1=5,L157,IF($C$1=6,#REF!))))))</f>
        <v>2</v>
      </c>
      <c r="M22" s="78">
        <f>IF($C$1=1,M49,IF($C$1=2,M76,IF($C$1=3,M103,IF($C$1=4,M130,IF($C$1=5,M157,IF($C$1=6,#REF!))))))</f>
        <v>4</v>
      </c>
      <c r="N22" s="78">
        <f>IF($C$1=1,N49,IF($C$1=2,N76,IF($C$1=3,N103,IF($C$1=4,N130,IF($C$1=5,N157,IF($C$1=6,#REF!))))))</f>
        <v>1</v>
      </c>
      <c r="O22" s="78">
        <f>IF($C$1=1,O49,IF($C$1=2,O76,IF($C$1=3,O103,IF($C$1=4,O130,IF($C$1=5,O157,IF($C$1=6,#REF!))))))</f>
        <v>1</v>
      </c>
      <c r="P22" s="78">
        <f>IF($C$1=1,P49,IF($C$1=2,P76,IF($C$1=3,P103,IF($C$1=4,P130,IF($C$1=5,P157,IF($C$1=6,#REF!))))))</f>
        <v>0</v>
      </c>
      <c r="Q22" s="78">
        <f>IF($C$1=1,Q49,IF($C$1=2,Q76,IF($C$1=3,Q103,IF($C$1=4,Q130,IF($C$1=5,Q157,IF($C$1=6,#REF!))))))</f>
        <v>0</v>
      </c>
      <c r="R22" s="78">
        <f>IF($C$1=1,R49,IF($C$1=2,R76,IF($C$1=3,R103,IF($C$1=4,R130,IF($C$1=5,R157,IF($C$1=6,#REF!))))))</f>
        <v>0</v>
      </c>
      <c r="S22" s="78">
        <f>IF($C$1=1,S49,IF($C$1=2,S76,IF($C$1=3,S103,IF($C$1=4,S130,IF($C$1=5,S157,IF($C$1=6,#REF!))))))</f>
        <v>0</v>
      </c>
      <c r="T22" s="73">
        <f t="shared" si="0"/>
        <v>8</v>
      </c>
    </row>
    <row r="23" spans="1:20" x14ac:dyDescent="0.3">
      <c r="B23" s="43"/>
      <c r="C23" s="77">
        <v>7.25</v>
      </c>
      <c r="D23" s="78">
        <f>IF($C$1=1,D50,IF($C$1=2,D77,IF($C$1=3,D104,IF($C$1=4,D131,IF($C$1=5,D158,IF($C$1=6,#REF!))))))</f>
        <v>0</v>
      </c>
      <c r="E23" s="78">
        <f>IF($C$1=1,E50,IF($C$1=2,E77,IF($C$1=3,E104,IF($C$1=4,E131,IF($C$1=5,E158,IF($C$1=6,#REF!))))))</f>
        <v>0</v>
      </c>
      <c r="F23" s="78">
        <f>IF($C$1=1,F50,IF($C$1=2,F77,IF($C$1=3,F104,IF($C$1=4,F131,IF($C$1=5,F158,IF($C$1=6,#REF!))))))</f>
        <v>0</v>
      </c>
      <c r="G23" s="78">
        <f>IF($C$1=1,G50,IF($C$1=2,G77,IF($C$1=3,G104,IF($C$1=4,G131,IF($C$1=5,G158,IF($C$1=6,#REF!))))))</f>
        <v>0</v>
      </c>
      <c r="H23" s="78">
        <f>IF($C$1=1,H50,IF($C$1=2,H77,IF($C$1=3,H104,IF($C$1=4,H131,IF($C$1=5,H158,IF($C$1=6,#REF!))))))</f>
        <v>0</v>
      </c>
      <c r="I23" s="78">
        <f>IF($C$1=1,I50,IF($C$1=2,I77,IF($C$1=3,I104,IF($C$1=4,I131,IF($C$1=5,I158,IF($C$1=6,#REF!))))))</f>
        <v>0</v>
      </c>
      <c r="J23" s="78">
        <f>IF($C$1=1,J50,IF($C$1=2,J77,IF($C$1=3,J104,IF($C$1=4,J131,IF($C$1=5,J158,IF($C$1=6,#REF!))))))</f>
        <v>0</v>
      </c>
      <c r="K23" s="78">
        <f>IF($C$1=1,K50,IF($C$1=2,K77,IF($C$1=3,K104,IF($C$1=4,K131,IF($C$1=5,K158,IF($C$1=6,#REF!))))))</f>
        <v>1</v>
      </c>
      <c r="L23" s="78">
        <f>IF($C$1=1,L50,IF($C$1=2,L77,IF($C$1=3,L104,IF($C$1=4,L131,IF($C$1=5,L158,IF($C$1=6,#REF!))))))</f>
        <v>1</v>
      </c>
      <c r="M23" s="78">
        <f>IF($C$1=1,M50,IF($C$1=2,M77,IF($C$1=3,M104,IF($C$1=4,M131,IF($C$1=5,M158,IF($C$1=6,#REF!))))))</f>
        <v>2</v>
      </c>
      <c r="N23" s="78">
        <f>IF($C$1=1,N50,IF($C$1=2,N77,IF($C$1=3,N104,IF($C$1=4,N131,IF($C$1=5,N158,IF($C$1=6,#REF!))))))</f>
        <v>1</v>
      </c>
      <c r="O23" s="78">
        <f>IF($C$1=1,O50,IF($C$1=2,O77,IF($C$1=3,O104,IF($C$1=4,O131,IF($C$1=5,O158,IF($C$1=6,#REF!))))))</f>
        <v>1</v>
      </c>
      <c r="P23" s="78">
        <f>IF($C$1=1,P50,IF($C$1=2,P77,IF($C$1=3,P104,IF($C$1=4,P131,IF($C$1=5,P158,IF($C$1=6,#REF!))))))</f>
        <v>0</v>
      </c>
      <c r="Q23" s="78">
        <f>IF($C$1=1,Q50,IF($C$1=2,Q77,IF($C$1=3,Q104,IF($C$1=4,Q131,IF($C$1=5,Q158,IF($C$1=6,#REF!))))))</f>
        <v>0</v>
      </c>
      <c r="R23" s="78">
        <f>IF($C$1=1,R50,IF($C$1=2,R77,IF($C$1=3,R104,IF($C$1=4,R131,IF($C$1=5,R158,IF($C$1=6,#REF!))))))</f>
        <v>0</v>
      </c>
      <c r="S23" s="78">
        <f>IF($C$1=1,S50,IF($C$1=2,S77,IF($C$1=3,S104,IF($C$1=4,S131,IF($C$1=5,S158,IF($C$1=6,#REF!))))))</f>
        <v>0</v>
      </c>
      <c r="T23" s="73">
        <f t="shared" si="0"/>
        <v>6</v>
      </c>
    </row>
    <row r="24" spans="1:20" x14ac:dyDescent="0.3">
      <c r="B24" s="43"/>
      <c r="C24" s="77">
        <v>7.75</v>
      </c>
      <c r="D24" s="78">
        <f>IF($C$1=1,D51,IF($C$1=2,D78,IF($C$1=3,D105,IF($C$1=4,D132,IF($C$1=5,D159,IF($C$1=6,#REF!))))))</f>
        <v>0</v>
      </c>
      <c r="E24" s="78">
        <f>IF($C$1=1,E51,IF($C$1=2,E78,IF($C$1=3,E105,IF($C$1=4,E132,IF($C$1=5,E159,IF($C$1=6,#REF!))))))</f>
        <v>0</v>
      </c>
      <c r="F24" s="78">
        <f>IF($C$1=1,F51,IF($C$1=2,F78,IF($C$1=3,F105,IF($C$1=4,F132,IF($C$1=5,F159,IF($C$1=6,#REF!))))))</f>
        <v>0</v>
      </c>
      <c r="G24" s="78">
        <f>IF($C$1=1,G51,IF($C$1=2,G78,IF($C$1=3,G105,IF($C$1=4,G132,IF($C$1=5,G159,IF($C$1=6,#REF!))))))</f>
        <v>0</v>
      </c>
      <c r="H24" s="78">
        <f>IF($C$1=1,H51,IF($C$1=2,H78,IF($C$1=3,H105,IF($C$1=4,H132,IF($C$1=5,H159,IF($C$1=6,#REF!))))))</f>
        <v>0</v>
      </c>
      <c r="I24" s="78">
        <f>IF($C$1=1,I51,IF($C$1=2,I78,IF($C$1=3,I105,IF($C$1=4,I132,IF($C$1=5,I159,IF($C$1=6,#REF!))))))</f>
        <v>0</v>
      </c>
      <c r="J24" s="78">
        <f>IF($C$1=1,J51,IF($C$1=2,J78,IF($C$1=3,J105,IF($C$1=4,J132,IF($C$1=5,J159,IF($C$1=6,#REF!))))))</f>
        <v>0</v>
      </c>
      <c r="K24" s="78">
        <f>IF($C$1=1,K51,IF($C$1=2,K78,IF($C$1=3,K105,IF($C$1=4,K132,IF($C$1=5,K159,IF($C$1=6,#REF!))))))</f>
        <v>0</v>
      </c>
      <c r="L24" s="78">
        <f>IF($C$1=1,L51,IF($C$1=2,L78,IF($C$1=3,L105,IF($C$1=4,L132,IF($C$1=5,L159,IF($C$1=6,#REF!))))))</f>
        <v>0</v>
      </c>
      <c r="M24" s="78">
        <f>IF($C$1=1,M51,IF($C$1=2,M78,IF($C$1=3,M105,IF($C$1=4,M132,IF($C$1=5,M159,IF($C$1=6,#REF!))))))</f>
        <v>2</v>
      </c>
      <c r="N24" s="78">
        <f>IF($C$1=1,N51,IF($C$1=2,N78,IF($C$1=3,N105,IF($C$1=4,N132,IF($C$1=5,N159,IF($C$1=6,#REF!))))))</f>
        <v>1</v>
      </c>
      <c r="O24" s="78">
        <f>IF($C$1=1,O51,IF($C$1=2,O78,IF($C$1=3,O105,IF($C$1=4,O132,IF($C$1=5,O159,IF($C$1=6,#REF!))))))</f>
        <v>0</v>
      </c>
      <c r="P24" s="78">
        <f>IF($C$1=1,P51,IF($C$1=2,P78,IF($C$1=3,P105,IF($C$1=4,P132,IF($C$1=5,P159,IF($C$1=6,#REF!))))))</f>
        <v>0</v>
      </c>
      <c r="Q24" s="78">
        <f>IF($C$1=1,Q51,IF($C$1=2,Q78,IF($C$1=3,Q105,IF($C$1=4,Q132,IF($C$1=5,Q159,IF($C$1=6,#REF!))))))</f>
        <v>0</v>
      </c>
      <c r="R24" s="78">
        <f>IF($C$1=1,R51,IF($C$1=2,R78,IF($C$1=3,R105,IF($C$1=4,R132,IF($C$1=5,R159,IF($C$1=6,#REF!))))))</f>
        <v>0</v>
      </c>
      <c r="S24" s="78">
        <f>IF($C$1=1,S51,IF($C$1=2,S78,IF($C$1=3,S105,IF($C$1=4,S132,IF($C$1=5,S159,IF($C$1=6,#REF!))))))</f>
        <v>0</v>
      </c>
      <c r="T24" s="73">
        <f t="shared" si="0"/>
        <v>3</v>
      </c>
    </row>
    <row r="25" spans="1:20" x14ac:dyDescent="0.3">
      <c r="B25" s="43"/>
      <c r="C25" s="77">
        <v>8.25</v>
      </c>
      <c r="D25" s="78">
        <f>IF($C$1=1,D52,IF($C$1=2,D79,IF($C$1=3,D106,IF($C$1=4,D133,IF($C$1=5,D160,IF($C$1=6,#REF!))))))</f>
        <v>0</v>
      </c>
      <c r="E25" s="78">
        <f>IF($C$1=1,E52,IF($C$1=2,E79,IF($C$1=3,E106,IF($C$1=4,E133,IF($C$1=5,E160,IF($C$1=6,#REF!))))))</f>
        <v>0</v>
      </c>
      <c r="F25" s="78">
        <f>IF($C$1=1,F52,IF($C$1=2,F79,IF($C$1=3,F106,IF($C$1=4,F133,IF($C$1=5,F160,IF($C$1=6,#REF!))))))</f>
        <v>0</v>
      </c>
      <c r="G25" s="78">
        <f>IF($C$1=1,G52,IF($C$1=2,G79,IF($C$1=3,G106,IF($C$1=4,G133,IF($C$1=5,G160,IF($C$1=6,#REF!))))))</f>
        <v>0</v>
      </c>
      <c r="H25" s="78">
        <f>IF($C$1=1,H52,IF($C$1=2,H79,IF($C$1=3,H106,IF($C$1=4,H133,IF($C$1=5,H160,IF($C$1=6,#REF!))))))</f>
        <v>0</v>
      </c>
      <c r="I25" s="78">
        <f>IF($C$1=1,I52,IF($C$1=2,I79,IF($C$1=3,I106,IF($C$1=4,I133,IF($C$1=5,I160,IF($C$1=6,#REF!))))))</f>
        <v>0</v>
      </c>
      <c r="J25" s="78">
        <f>IF($C$1=1,J52,IF($C$1=2,J79,IF($C$1=3,J106,IF($C$1=4,J133,IF($C$1=5,J160,IF($C$1=6,#REF!))))))</f>
        <v>0</v>
      </c>
      <c r="K25" s="78">
        <f>IF($C$1=1,K52,IF($C$1=2,K79,IF($C$1=3,K106,IF($C$1=4,K133,IF($C$1=5,K160,IF($C$1=6,#REF!))))))</f>
        <v>0</v>
      </c>
      <c r="L25" s="78">
        <f>IF($C$1=1,L52,IF($C$1=2,L79,IF($C$1=3,L106,IF($C$1=4,L133,IF($C$1=5,L160,IF($C$1=6,#REF!))))))</f>
        <v>0</v>
      </c>
      <c r="M25" s="78">
        <f>IF($C$1=1,M52,IF($C$1=2,M79,IF($C$1=3,M106,IF($C$1=4,M133,IF($C$1=5,M160,IF($C$1=6,#REF!))))))</f>
        <v>0</v>
      </c>
      <c r="N25" s="78">
        <f>IF($C$1=1,N52,IF($C$1=2,N79,IF($C$1=3,N106,IF($C$1=4,N133,IF($C$1=5,N160,IF($C$1=6,#REF!))))))</f>
        <v>1</v>
      </c>
      <c r="O25" s="78">
        <f>IF($C$1=1,O52,IF($C$1=2,O79,IF($C$1=3,O106,IF($C$1=4,O133,IF($C$1=5,O160,IF($C$1=6,#REF!))))))</f>
        <v>0</v>
      </c>
      <c r="P25" s="78">
        <f>IF($C$1=1,P52,IF($C$1=2,P79,IF($C$1=3,P106,IF($C$1=4,P133,IF($C$1=5,P160,IF($C$1=6,#REF!))))))</f>
        <v>0</v>
      </c>
      <c r="Q25" s="78">
        <f>IF($C$1=1,Q52,IF($C$1=2,Q79,IF($C$1=3,Q106,IF($C$1=4,Q133,IF($C$1=5,Q160,IF($C$1=6,#REF!))))))</f>
        <v>0</v>
      </c>
      <c r="R25" s="78">
        <f>IF($C$1=1,R52,IF($C$1=2,R79,IF($C$1=3,R106,IF($C$1=4,R133,IF($C$1=5,R160,IF($C$1=6,#REF!))))))</f>
        <v>0</v>
      </c>
      <c r="S25" s="78">
        <f>IF($C$1=1,S52,IF($C$1=2,S79,IF($C$1=3,S106,IF($C$1=4,S133,IF($C$1=5,S160,IF($C$1=6,#REF!))))))</f>
        <v>0</v>
      </c>
      <c r="T25" s="73">
        <f t="shared" si="0"/>
        <v>1</v>
      </c>
    </row>
    <row r="26" spans="1:20" x14ac:dyDescent="0.3">
      <c r="B26" s="43"/>
      <c r="C26" s="77">
        <v>8.75</v>
      </c>
      <c r="D26" s="78">
        <f>IF($C$1=1,D53,IF($C$1=2,D80,IF($C$1=3,D107,IF($C$1=4,D134,IF($C$1=5,D161,IF($C$1=6,#REF!))))))</f>
        <v>0</v>
      </c>
      <c r="E26" s="78">
        <f>IF($C$1=1,E53,IF($C$1=2,E80,IF($C$1=3,E107,IF($C$1=4,E134,IF($C$1=5,E161,IF($C$1=6,#REF!))))))</f>
        <v>0</v>
      </c>
      <c r="F26" s="78">
        <f>IF($C$1=1,F53,IF($C$1=2,F80,IF($C$1=3,F107,IF($C$1=4,F134,IF($C$1=5,F161,IF($C$1=6,#REF!))))))</f>
        <v>0</v>
      </c>
      <c r="G26" s="78">
        <f>IF($C$1=1,G53,IF($C$1=2,G80,IF($C$1=3,G107,IF($C$1=4,G134,IF($C$1=5,G161,IF($C$1=6,#REF!))))))</f>
        <v>0</v>
      </c>
      <c r="H26" s="78">
        <f>IF($C$1=1,H53,IF($C$1=2,H80,IF($C$1=3,H107,IF($C$1=4,H134,IF($C$1=5,H161,IF($C$1=6,#REF!))))))</f>
        <v>0</v>
      </c>
      <c r="I26" s="78">
        <f>IF($C$1=1,I53,IF($C$1=2,I80,IF($C$1=3,I107,IF($C$1=4,I134,IF($C$1=5,I161,IF($C$1=6,#REF!))))))</f>
        <v>0</v>
      </c>
      <c r="J26" s="78">
        <f>IF($C$1=1,J53,IF($C$1=2,J80,IF($C$1=3,J107,IF($C$1=4,J134,IF($C$1=5,J161,IF($C$1=6,#REF!))))))</f>
        <v>0</v>
      </c>
      <c r="K26" s="78">
        <f>IF($C$1=1,K53,IF($C$1=2,K80,IF($C$1=3,K107,IF($C$1=4,K134,IF($C$1=5,K161,IF($C$1=6,#REF!))))))</f>
        <v>0</v>
      </c>
      <c r="L26" s="78">
        <f>IF($C$1=1,L53,IF($C$1=2,L80,IF($C$1=3,L107,IF($C$1=4,L134,IF($C$1=5,L161,IF($C$1=6,#REF!))))))</f>
        <v>0</v>
      </c>
      <c r="M26" s="78">
        <f>IF($C$1=1,M53,IF($C$1=2,M80,IF($C$1=3,M107,IF($C$1=4,M134,IF($C$1=5,M161,IF($C$1=6,#REF!))))))</f>
        <v>0</v>
      </c>
      <c r="N26" s="78">
        <f>IF($C$1=1,N53,IF($C$1=2,N80,IF($C$1=3,N107,IF($C$1=4,N134,IF($C$1=5,N161,IF($C$1=6,#REF!))))))</f>
        <v>2</v>
      </c>
      <c r="O26" s="78">
        <f>IF($C$1=1,O53,IF($C$1=2,O80,IF($C$1=3,O107,IF($C$1=4,O134,IF($C$1=5,O161,IF($C$1=6,#REF!))))))</f>
        <v>0</v>
      </c>
      <c r="P26" s="78">
        <f>IF($C$1=1,P53,IF($C$1=2,P80,IF($C$1=3,P107,IF($C$1=4,P134,IF($C$1=5,P161,IF($C$1=6,#REF!))))))</f>
        <v>0</v>
      </c>
      <c r="Q26" s="78">
        <f>IF($C$1=1,Q53,IF($C$1=2,Q80,IF($C$1=3,Q107,IF($C$1=4,Q134,IF($C$1=5,Q161,IF($C$1=6,#REF!))))))</f>
        <v>0</v>
      </c>
      <c r="R26" s="78">
        <f>IF($C$1=1,R53,IF($C$1=2,R80,IF($C$1=3,R107,IF($C$1=4,R134,IF($C$1=5,R161,IF($C$1=6,#REF!))))))</f>
        <v>0</v>
      </c>
      <c r="S26" s="78">
        <f>IF($C$1=1,S53,IF($C$1=2,S80,IF($C$1=3,S107,IF($C$1=4,S134,IF($C$1=5,S161,IF($C$1=6,#REF!))))))</f>
        <v>0</v>
      </c>
      <c r="T26" s="73">
        <f t="shared" si="0"/>
        <v>2</v>
      </c>
    </row>
    <row r="27" spans="1:20" x14ac:dyDescent="0.3">
      <c r="B27" s="43"/>
      <c r="C27" s="77">
        <v>9.25</v>
      </c>
      <c r="D27" s="78">
        <f>IF($C$1=1,D54,IF($C$1=2,D81,IF($C$1=3,D108,IF($C$1=4,D135,IF($C$1=5,D162,IF($C$1=6,#REF!))))))</f>
        <v>0</v>
      </c>
      <c r="E27" s="78">
        <f>IF($C$1=1,E54,IF($C$1=2,E81,IF($C$1=3,E108,IF($C$1=4,E135,IF($C$1=5,E162,IF($C$1=6,#REF!))))))</f>
        <v>0</v>
      </c>
      <c r="F27" s="78">
        <f>IF($C$1=1,F54,IF($C$1=2,F81,IF($C$1=3,F108,IF($C$1=4,F135,IF($C$1=5,F162,IF($C$1=6,#REF!))))))</f>
        <v>0</v>
      </c>
      <c r="G27" s="78">
        <f>IF($C$1=1,G54,IF($C$1=2,G81,IF($C$1=3,G108,IF($C$1=4,G135,IF($C$1=5,G162,IF($C$1=6,#REF!))))))</f>
        <v>0</v>
      </c>
      <c r="H27" s="78">
        <f>IF($C$1=1,H54,IF($C$1=2,H81,IF($C$1=3,H108,IF($C$1=4,H135,IF($C$1=5,H162,IF($C$1=6,#REF!))))))</f>
        <v>0</v>
      </c>
      <c r="I27" s="78">
        <f>IF($C$1=1,I54,IF($C$1=2,I81,IF($C$1=3,I108,IF($C$1=4,I135,IF($C$1=5,I162,IF($C$1=6,#REF!))))))</f>
        <v>0</v>
      </c>
      <c r="J27" s="78">
        <f>IF($C$1=1,J54,IF($C$1=2,J81,IF($C$1=3,J108,IF($C$1=4,J135,IF($C$1=5,J162,IF($C$1=6,#REF!))))))</f>
        <v>0</v>
      </c>
      <c r="K27" s="78">
        <f>IF($C$1=1,K54,IF($C$1=2,K81,IF($C$1=3,K108,IF($C$1=4,K135,IF($C$1=5,K162,IF($C$1=6,#REF!))))))</f>
        <v>0</v>
      </c>
      <c r="L27" s="78">
        <f>IF($C$1=1,L54,IF($C$1=2,L81,IF($C$1=3,L108,IF($C$1=4,L135,IF($C$1=5,L162,IF($C$1=6,#REF!))))))</f>
        <v>0</v>
      </c>
      <c r="M27" s="78">
        <f>IF($C$1=1,M54,IF($C$1=2,M81,IF($C$1=3,M108,IF($C$1=4,M135,IF($C$1=5,M162,IF($C$1=6,#REF!))))))</f>
        <v>0</v>
      </c>
      <c r="N27" s="78">
        <f>IF($C$1=1,N54,IF($C$1=2,N81,IF($C$1=3,N108,IF($C$1=4,N135,IF($C$1=5,N162,IF($C$1=6,#REF!))))))</f>
        <v>0</v>
      </c>
      <c r="O27" s="78">
        <f>IF($C$1=1,O54,IF($C$1=2,O81,IF($C$1=3,O108,IF($C$1=4,O135,IF($C$1=5,O162,IF($C$1=6,#REF!))))))</f>
        <v>0</v>
      </c>
      <c r="P27" s="78">
        <f>IF($C$1=1,P54,IF($C$1=2,P81,IF($C$1=3,P108,IF($C$1=4,P135,IF($C$1=5,P162,IF($C$1=6,#REF!))))))</f>
        <v>0</v>
      </c>
      <c r="Q27" s="78">
        <f>IF($C$1=1,Q54,IF($C$1=2,Q81,IF($C$1=3,Q108,IF($C$1=4,Q135,IF($C$1=5,Q162,IF($C$1=6,#REF!))))))</f>
        <v>0</v>
      </c>
      <c r="R27" s="78">
        <f>IF($C$1=1,R54,IF($C$1=2,R81,IF($C$1=3,R108,IF($C$1=4,R135,IF($C$1=5,R162,IF($C$1=6,#REF!))))))</f>
        <v>0</v>
      </c>
      <c r="S27" s="78">
        <f>IF($C$1=1,S54,IF($C$1=2,S81,IF($C$1=3,S108,IF($C$1=4,S135,IF($C$1=5,S162,IF($C$1=6,#REF!))))))</f>
        <v>0</v>
      </c>
      <c r="T27" s="73">
        <f t="shared" si="0"/>
        <v>0</v>
      </c>
    </row>
    <row r="28" spans="1:20" x14ac:dyDescent="0.3">
      <c r="B28" s="43"/>
      <c r="C28" s="77">
        <v>9.75</v>
      </c>
      <c r="D28" s="78">
        <f>IF($C$1=1,D55,IF($C$1=2,D82,IF($C$1=3,D109,IF($C$1=4,D136,IF($C$1=5,D163,IF($C$1=6,#REF!))))))</f>
        <v>0</v>
      </c>
      <c r="E28" s="78">
        <f>IF($C$1=1,E55,IF($C$1=2,E82,IF($C$1=3,E109,IF($C$1=4,E136,IF($C$1=5,E163,IF($C$1=6,#REF!))))))</f>
        <v>0</v>
      </c>
      <c r="F28" s="78">
        <f>IF($C$1=1,F55,IF($C$1=2,F82,IF($C$1=3,F109,IF($C$1=4,F136,IF($C$1=5,F163,IF($C$1=6,#REF!))))))</f>
        <v>0</v>
      </c>
      <c r="G28" s="78">
        <f>IF($C$1=1,G55,IF($C$1=2,G82,IF($C$1=3,G109,IF($C$1=4,G136,IF($C$1=5,G163,IF($C$1=6,#REF!))))))</f>
        <v>0</v>
      </c>
      <c r="H28" s="78">
        <f>IF($C$1=1,H55,IF($C$1=2,H82,IF($C$1=3,H109,IF($C$1=4,H136,IF($C$1=5,H163,IF($C$1=6,#REF!))))))</f>
        <v>0</v>
      </c>
      <c r="I28" s="78">
        <f>IF($C$1=1,I55,IF($C$1=2,I82,IF($C$1=3,I109,IF($C$1=4,I136,IF($C$1=5,I163,IF($C$1=6,#REF!))))))</f>
        <v>0</v>
      </c>
      <c r="J28" s="78">
        <f>IF($C$1=1,J55,IF($C$1=2,J82,IF($C$1=3,J109,IF($C$1=4,J136,IF($C$1=5,J163,IF($C$1=6,#REF!))))))</f>
        <v>0</v>
      </c>
      <c r="K28" s="78">
        <f>IF($C$1=1,K55,IF($C$1=2,K82,IF($C$1=3,K109,IF($C$1=4,K136,IF($C$1=5,K163,IF($C$1=6,#REF!))))))</f>
        <v>0</v>
      </c>
      <c r="L28" s="78">
        <f>IF($C$1=1,L55,IF($C$1=2,L82,IF($C$1=3,L109,IF($C$1=4,L136,IF($C$1=5,L163,IF($C$1=6,#REF!))))))</f>
        <v>0</v>
      </c>
      <c r="M28" s="78">
        <f>IF($C$1=1,M55,IF($C$1=2,M82,IF($C$1=3,M109,IF($C$1=4,M136,IF($C$1=5,M163,IF($C$1=6,#REF!))))))</f>
        <v>0</v>
      </c>
      <c r="N28" s="78">
        <f>IF($C$1=1,N55,IF($C$1=2,N82,IF($C$1=3,N109,IF($C$1=4,N136,IF($C$1=5,N163,IF($C$1=6,#REF!))))))</f>
        <v>0</v>
      </c>
      <c r="O28" s="78">
        <f>IF($C$1=1,O55,IF($C$1=2,O82,IF($C$1=3,O109,IF($C$1=4,O136,IF($C$1=5,O163,IF($C$1=6,#REF!))))))</f>
        <v>0</v>
      </c>
      <c r="P28" s="78">
        <f>IF($C$1=1,P55,IF($C$1=2,P82,IF($C$1=3,P109,IF($C$1=4,P136,IF($C$1=5,P163,IF($C$1=6,#REF!))))))</f>
        <v>0</v>
      </c>
      <c r="Q28" s="78">
        <f>IF($C$1=1,Q55,IF($C$1=2,Q82,IF($C$1=3,Q109,IF($C$1=4,Q136,IF($C$1=5,Q163,IF($C$1=6,#REF!))))))</f>
        <v>0</v>
      </c>
      <c r="R28" s="78">
        <f>IF($C$1=1,R55,IF($C$1=2,R82,IF($C$1=3,R109,IF($C$1=4,R136,IF($C$1=5,R163,IF($C$1=6,#REF!))))))</f>
        <v>0</v>
      </c>
      <c r="S28" s="78">
        <f>IF($C$1=1,S55,IF($C$1=2,S82,IF($C$1=3,S109,IF($C$1=4,S136,IF($C$1=5,S163,IF($C$1=6,#REF!))))))</f>
        <v>0</v>
      </c>
      <c r="T28" s="73">
        <f t="shared" si="0"/>
        <v>0</v>
      </c>
    </row>
    <row r="29" spans="1:20" x14ac:dyDescent="0.3">
      <c r="B29" s="43"/>
      <c r="C29" s="77"/>
      <c r="D29" s="80">
        <f>SUM(D9:D28)</f>
        <v>2</v>
      </c>
      <c r="E29" s="80">
        <f t="shared" ref="E29:S29" si="1">SUM(E9:E28)</f>
        <v>279</v>
      </c>
      <c r="F29" s="80">
        <f t="shared" si="1"/>
        <v>1612</v>
      </c>
      <c r="G29" s="80">
        <f t="shared" si="1"/>
        <v>2069</v>
      </c>
      <c r="H29" s="80">
        <f t="shared" si="1"/>
        <v>1936</v>
      </c>
      <c r="I29" s="80">
        <f t="shared" si="1"/>
        <v>2182</v>
      </c>
      <c r="J29" s="80">
        <f t="shared" si="1"/>
        <v>1998</v>
      </c>
      <c r="K29" s="80">
        <f t="shared" si="1"/>
        <v>1244</v>
      </c>
      <c r="L29" s="80">
        <f t="shared" si="1"/>
        <v>725</v>
      </c>
      <c r="M29" s="80">
        <f t="shared" si="1"/>
        <v>315</v>
      </c>
      <c r="N29" s="80">
        <f t="shared" si="1"/>
        <v>124</v>
      </c>
      <c r="O29" s="80">
        <f t="shared" si="1"/>
        <v>49</v>
      </c>
      <c r="P29" s="80">
        <f t="shared" si="1"/>
        <v>10</v>
      </c>
      <c r="Q29" s="80">
        <f t="shared" si="1"/>
        <v>2</v>
      </c>
      <c r="R29" s="80">
        <f t="shared" si="1"/>
        <v>0</v>
      </c>
      <c r="S29" s="80">
        <f t="shared" si="1"/>
        <v>0</v>
      </c>
      <c r="T29" s="43"/>
    </row>
    <row r="32" spans="1:20" x14ac:dyDescent="0.3">
      <c r="A32" s="7">
        <v>1</v>
      </c>
      <c r="B32" s="7" t="s">
        <v>130</v>
      </c>
    </row>
    <row r="34" spans="2:20" x14ac:dyDescent="0.3">
      <c r="B34" s="43"/>
      <c r="C34" s="43"/>
      <c r="D34" s="43" t="s">
        <v>117</v>
      </c>
      <c r="E34" s="51"/>
      <c r="F34" s="51"/>
      <c r="G34" s="51"/>
      <c r="H34" s="51"/>
      <c r="I34" s="43"/>
      <c r="J34" s="43"/>
      <c r="K34" s="43"/>
      <c r="L34" s="43"/>
      <c r="M34" s="43"/>
      <c r="N34" s="43"/>
      <c r="O34" s="43"/>
      <c r="P34" s="43"/>
      <c r="Q34" s="43"/>
      <c r="R34" s="74"/>
      <c r="S34" s="74"/>
      <c r="T34" s="43"/>
    </row>
    <row r="35" spans="2:20" x14ac:dyDescent="0.3">
      <c r="B35" s="43"/>
      <c r="C35" s="75"/>
      <c r="D35" s="76">
        <v>4.5</v>
      </c>
      <c r="E35" s="76">
        <v>5.5</v>
      </c>
      <c r="F35" s="76">
        <v>6.5</v>
      </c>
      <c r="G35" s="76">
        <v>7.5</v>
      </c>
      <c r="H35" s="76">
        <v>8.5</v>
      </c>
      <c r="I35" s="76">
        <v>9.5</v>
      </c>
      <c r="J35" s="76">
        <v>10.5</v>
      </c>
      <c r="K35" s="76">
        <v>11.5</v>
      </c>
      <c r="L35" s="76">
        <v>12.5</v>
      </c>
      <c r="M35" s="76">
        <v>13.5</v>
      </c>
      <c r="N35" s="76">
        <v>14.5</v>
      </c>
      <c r="O35" s="76">
        <v>15.5</v>
      </c>
      <c r="P35" s="76">
        <v>16.5</v>
      </c>
      <c r="Q35" s="76">
        <v>17.5</v>
      </c>
      <c r="R35" s="76">
        <v>18.5</v>
      </c>
      <c r="S35" s="76">
        <v>19.5</v>
      </c>
      <c r="T35" s="43"/>
    </row>
    <row r="36" spans="2:20" x14ac:dyDescent="0.3">
      <c r="B36" s="43" t="s">
        <v>118</v>
      </c>
      <c r="C36" s="77">
        <v>0.25</v>
      </c>
      <c r="D36" s="78">
        <v>0</v>
      </c>
      <c r="E36" s="78">
        <v>0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78">
        <v>0</v>
      </c>
      <c r="T36" s="73">
        <f>SUM(D36:S36)</f>
        <v>0</v>
      </c>
    </row>
    <row r="37" spans="2:20" x14ac:dyDescent="0.3">
      <c r="B37" s="43"/>
      <c r="C37" s="77">
        <v>0.75</v>
      </c>
      <c r="D37" s="78">
        <v>0</v>
      </c>
      <c r="E37" s="78">
        <v>4</v>
      </c>
      <c r="F37" s="78">
        <v>70</v>
      </c>
      <c r="G37" s="78">
        <v>101</v>
      </c>
      <c r="H37" s="78">
        <v>64</v>
      </c>
      <c r="I37" s="78">
        <v>67</v>
      </c>
      <c r="J37" s="78">
        <v>30</v>
      </c>
      <c r="K37" s="78">
        <v>4</v>
      </c>
      <c r="L37" s="78">
        <v>0</v>
      </c>
      <c r="M37" s="78">
        <v>1</v>
      </c>
      <c r="N37" s="78">
        <v>0</v>
      </c>
      <c r="O37" s="78">
        <v>1</v>
      </c>
      <c r="P37" s="78">
        <v>0</v>
      </c>
      <c r="Q37" s="78">
        <v>0</v>
      </c>
      <c r="R37" s="78">
        <v>0</v>
      </c>
      <c r="S37" s="78">
        <v>0</v>
      </c>
      <c r="T37" s="73">
        <f t="shared" ref="T37:T55" si="2">SUM(D37:S37)</f>
        <v>342</v>
      </c>
    </row>
    <row r="38" spans="2:20" x14ac:dyDescent="0.3">
      <c r="B38" s="43"/>
      <c r="C38" s="77">
        <v>1.25</v>
      </c>
      <c r="D38" s="78">
        <v>2</v>
      </c>
      <c r="E38" s="78">
        <v>122</v>
      </c>
      <c r="F38" s="78">
        <v>342</v>
      </c>
      <c r="G38" s="78">
        <v>461</v>
      </c>
      <c r="H38" s="78">
        <v>510</v>
      </c>
      <c r="I38" s="78">
        <v>360</v>
      </c>
      <c r="J38" s="78">
        <v>182</v>
      </c>
      <c r="K38" s="78">
        <v>54</v>
      </c>
      <c r="L38" s="78">
        <v>14</v>
      </c>
      <c r="M38" s="78">
        <v>0</v>
      </c>
      <c r="N38" s="78">
        <v>0</v>
      </c>
      <c r="O38" s="78">
        <v>0</v>
      </c>
      <c r="P38" s="78">
        <v>1</v>
      </c>
      <c r="Q38" s="78">
        <v>1</v>
      </c>
      <c r="R38" s="78">
        <v>0</v>
      </c>
      <c r="S38" s="78">
        <v>0</v>
      </c>
      <c r="T38" s="73">
        <f t="shared" si="2"/>
        <v>2049</v>
      </c>
    </row>
    <row r="39" spans="2:20" x14ac:dyDescent="0.3">
      <c r="B39" s="43"/>
      <c r="C39" s="77">
        <v>1.75</v>
      </c>
      <c r="D39" s="78">
        <v>0</v>
      </c>
      <c r="E39" s="78">
        <v>122</v>
      </c>
      <c r="F39" s="78">
        <v>553</v>
      </c>
      <c r="G39" s="78">
        <v>534</v>
      </c>
      <c r="H39" s="78">
        <v>513</v>
      </c>
      <c r="I39" s="78">
        <v>430</v>
      </c>
      <c r="J39" s="78">
        <v>252</v>
      </c>
      <c r="K39" s="78">
        <v>141</v>
      </c>
      <c r="L39" s="78">
        <v>80</v>
      </c>
      <c r="M39" s="78">
        <v>7</v>
      </c>
      <c r="N39" s="78">
        <v>0</v>
      </c>
      <c r="O39" s="78">
        <v>0</v>
      </c>
      <c r="P39" s="78">
        <v>0</v>
      </c>
      <c r="Q39" s="78">
        <v>1</v>
      </c>
      <c r="R39" s="78">
        <v>0</v>
      </c>
      <c r="S39" s="78">
        <v>0</v>
      </c>
      <c r="T39" s="73">
        <f t="shared" si="2"/>
        <v>2633</v>
      </c>
    </row>
    <row r="40" spans="2:20" x14ac:dyDescent="0.3">
      <c r="B40" s="43"/>
      <c r="C40" s="77">
        <v>2.25</v>
      </c>
      <c r="D40" s="78">
        <v>0</v>
      </c>
      <c r="E40" s="78">
        <v>30</v>
      </c>
      <c r="F40" s="78">
        <v>437</v>
      </c>
      <c r="G40" s="78">
        <v>531</v>
      </c>
      <c r="H40" s="78">
        <v>454</v>
      </c>
      <c r="I40" s="78">
        <v>511</v>
      </c>
      <c r="J40" s="78">
        <v>395</v>
      </c>
      <c r="K40" s="78">
        <v>186</v>
      </c>
      <c r="L40" s="78">
        <v>148</v>
      </c>
      <c r="M40" s="78">
        <v>41</v>
      </c>
      <c r="N40" s="78">
        <v>4</v>
      </c>
      <c r="O40" s="78">
        <v>2</v>
      </c>
      <c r="P40" s="78">
        <v>1</v>
      </c>
      <c r="Q40" s="78">
        <v>0</v>
      </c>
      <c r="R40" s="78">
        <v>0</v>
      </c>
      <c r="S40" s="78">
        <v>0</v>
      </c>
      <c r="T40" s="73">
        <f t="shared" si="2"/>
        <v>2740</v>
      </c>
    </row>
    <row r="41" spans="2:20" x14ac:dyDescent="0.3">
      <c r="B41" s="43"/>
      <c r="C41" s="77">
        <v>2.75</v>
      </c>
      <c r="D41" s="78">
        <v>0</v>
      </c>
      <c r="E41" s="78">
        <v>1</v>
      </c>
      <c r="F41" s="78">
        <v>193</v>
      </c>
      <c r="G41" s="78">
        <v>314</v>
      </c>
      <c r="H41" s="78">
        <v>243</v>
      </c>
      <c r="I41" s="78">
        <v>407</v>
      </c>
      <c r="J41" s="78">
        <v>409</v>
      </c>
      <c r="K41" s="78">
        <v>220</v>
      </c>
      <c r="L41" s="78">
        <v>142</v>
      </c>
      <c r="M41" s="78">
        <v>47</v>
      </c>
      <c r="N41" s="78">
        <v>9</v>
      </c>
      <c r="O41" s="78">
        <v>8</v>
      </c>
      <c r="P41" s="78">
        <v>0</v>
      </c>
      <c r="Q41" s="78">
        <v>0</v>
      </c>
      <c r="R41" s="78">
        <v>0</v>
      </c>
      <c r="S41" s="78">
        <v>0</v>
      </c>
      <c r="T41" s="73">
        <f t="shared" si="2"/>
        <v>1993</v>
      </c>
    </row>
    <row r="42" spans="2:20" x14ac:dyDescent="0.3">
      <c r="B42" s="43"/>
      <c r="C42" s="77">
        <v>3.25</v>
      </c>
      <c r="D42" s="78">
        <v>0</v>
      </c>
      <c r="E42" s="78">
        <v>0</v>
      </c>
      <c r="F42" s="78">
        <v>15</v>
      </c>
      <c r="G42" s="78">
        <v>116</v>
      </c>
      <c r="H42" s="78">
        <v>115</v>
      </c>
      <c r="I42" s="78">
        <v>245</v>
      </c>
      <c r="J42" s="78">
        <v>298</v>
      </c>
      <c r="K42" s="78">
        <v>181</v>
      </c>
      <c r="L42" s="78">
        <v>101</v>
      </c>
      <c r="M42" s="78">
        <v>50</v>
      </c>
      <c r="N42" s="78">
        <v>18</v>
      </c>
      <c r="O42" s="78">
        <v>5</v>
      </c>
      <c r="P42" s="78">
        <v>0</v>
      </c>
      <c r="Q42" s="78">
        <v>0</v>
      </c>
      <c r="R42" s="78">
        <v>0</v>
      </c>
      <c r="S42" s="78">
        <v>0</v>
      </c>
      <c r="T42" s="73">
        <f t="shared" si="2"/>
        <v>1144</v>
      </c>
    </row>
    <row r="43" spans="2:20" x14ac:dyDescent="0.3">
      <c r="B43" s="43"/>
      <c r="C43" s="77">
        <v>3.75</v>
      </c>
      <c r="D43" s="78">
        <v>0</v>
      </c>
      <c r="E43" s="78">
        <v>0</v>
      </c>
      <c r="F43" s="78">
        <v>2</v>
      </c>
      <c r="G43" s="78">
        <v>11</v>
      </c>
      <c r="H43" s="78">
        <v>29</v>
      </c>
      <c r="I43" s="78">
        <v>127</v>
      </c>
      <c r="J43" s="78">
        <v>242</v>
      </c>
      <c r="K43" s="78">
        <v>189</v>
      </c>
      <c r="L43" s="78">
        <v>66</v>
      </c>
      <c r="M43" s="78">
        <v>41</v>
      </c>
      <c r="N43" s="78">
        <v>28</v>
      </c>
      <c r="O43" s="78">
        <v>7</v>
      </c>
      <c r="P43" s="78">
        <v>0</v>
      </c>
      <c r="Q43" s="78">
        <v>0</v>
      </c>
      <c r="R43" s="78">
        <v>0</v>
      </c>
      <c r="S43" s="78">
        <v>0</v>
      </c>
      <c r="T43" s="73">
        <f t="shared" si="2"/>
        <v>742</v>
      </c>
    </row>
    <row r="44" spans="2:20" x14ac:dyDescent="0.3">
      <c r="B44" s="43"/>
      <c r="C44" s="77">
        <v>4.25</v>
      </c>
      <c r="D44" s="78">
        <v>0</v>
      </c>
      <c r="E44" s="78">
        <v>0</v>
      </c>
      <c r="F44" s="78">
        <v>0</v>
      </c>
      <c r="G44" s="78">
        <v>1</v>
      </c>
      <c r="H44" s="78">
        <v>6</v>
      </c>
      <c r="I44" s="78">
        <v>27</v>
      </c>
      <c r="J44" s="78">
        <v>125</v>
      </c>
      <c r="K44" s="78">
        <v>160</v>
      </c>
      <c r="L44" s="78">
        <v>69</v>
      </c>
      <c r="M44" s="78">
        <v>37</v>
      </c>
      <c r="N44" s="78">
        <v>19</v>
      </c>
      <c r="O44" s="78">
        <v>11</v>
      </c>
      <c r="P44" s="78">
        <v>4</v>
      </c>
      <c r="Q44" s="78">
        <v>0</v>
      </c>
      <c r="R44" s="78">
        <v>0</v>
      </c>
      <c r="S44" s="78">
        <v>0</v>
      </c>
      <c r="T44" s="73">
        <f t="shared" si="2"/>
        <v>459</v>
      </c>
    </row>
    <row r="45" spans="2:20" x14ac:dyDescent="0.3">
      <c r="B45" s="43"/>
      <c r="C45" s="77">
        <v>4.75</v>
      </c>
      <c r="D45" s="78">
        <v>0</v>
      </c>
      <c r="E45" s="78">
        <v>0</v>
      </c>
      <c r="F45" s="78">
        <v>0</v>
      </c>
      <c r="G45" s="78">
        <v>0</v>
      </c>
      <c r="H45" s="78">
        <v>2</v>
      </c>
      <c r="I45" s="78">
        <v>5</v>
      </c>
      <c r="J45" s="78">
        <v>40</v>
      </c>
      <c r="K45" s="78">
        <v>55</v>
      </c>
      <c r="L45" s="78">
        <v>47</v>
      </c>
      <c r="M45" s="78">
        <v>29</v>
      </c>
      <c r="N45" s="78">
        <v>16</v>
      </c>
      <c r="O45" s="78">
        <v>8</v>
      </c>
      <c r="P45" s="78">
        <v>1</v>
      </c>
      <c r="Q45" s="78">
        <v>0</v>
      </c>
      <c r="R45" s="78">
        <v>0</v>
      </c>
      <c r="S45" s="78">
        <v>0</v>
      </c>
      <c r="T45" s="73">
        <f t="shared" si="2"/>
        <v>203</v>
      </c>
    </row>
    <row r="46" spans="2:20" x14ac:dyDescent="0.3">
      <c r="B46" s="43"/>
      <c r="C46" s="77">
        <v>5.25</v>
      </c>
      <c r="D46" s="78">
        <v>0</v>
      </c>
      <c r="E46" s="78">
        <v>0</v>
      </c>
      <c r="F46" s="78">
        <v>0</v>
      </c>
      <c r="G46" s="78">
        <v>0</v>
      </c>
      <c r="H46" s="78">
        <v>0</v>
      </c>
      <c r="I46" s="78">
        <v>2</v>
      </c>
      <c r="J46" s="78">
        <v>16</v>
      </c>
      <c r="K46" s="78">
        <v>26</v>
      </c>
      <c r="L46" s="78">
        <v>32</v>
      </c>
      <c r="M46" s="78">
        <v>20</v>
      </c>
      <c r="N46" s="78">
        <v>8</v>
      </c>
      <c r="O46" s="78">
        <v>3</v>
      </c>
      <c r="P46" s="78">
        <v>2</v>
      </c>
      <c r="Q46" s="78">
        <v>0</v>
      </c>
      <c r="R46" s="78">
        <v>0</v>
      </c>
      <c r="S46" s="78">
        <v>0</v>
      </c>
      <c r="T46" s="73">
        <f t="shared" si="2"/>
        <v>109</v>
      </c>
    </row>
    <row r="47" spans="2:20" x14ac:dyDescent="0.3">
      <c r="B47" s="43"/>
      <c r="C47" s="77">
        <v>5.75</v>
      </c>
      <c r="D47" s="78">
        <v>0</v>
      </c>
      <c r="E47" s="78">
        <v>0</v>
      </c>
      <c r="F47" s="78">
        <v>0</v>
      </c>
      <c r="G47" s="78">
        <v>0</v>
      </c>
      <c r="H47" s="78">
        <v>0</v>
      </c>
      <c r="I47" s="78">
        <v>1</v>
      </c>
      <c r="J47" s="78">
        <v>6</v>
      </c>
      <c r="K47" s="78">
        <v>19</v>
      </c>
      <c r="L47" s="78">
        <v>13</v>
      </c>
      <c r="M47" s="78">
        <v>18</v>
      </c>
      <c r="N47" s="78">
        <v>10</v>
      </c>
      <c r="O47" s="78">
        <v>1</v>
      </c>
      <c r="P47" s="78">
        <v>1</v>
      </c>
      <c r="Q47" s="78">
        <v>0</v>
      </c>
      <c r="R47" s="78">
        <v>0</v>
      </c>
      <c r="S47" s="78">
        <v>0</v>
      </c>
      <c r="T47" s="73">
        <f t="shared" si="2"/>
        <v>69</v>
      </c>
    </row>
    <row r="48" spans="2:20" x14ac:dyDescent="0.3">
      <c r="B48" s="43"/>
      <c r="C48" s="77">
        <v>6.25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3</v>
      </c>
      <c r="K48" s="78">
        <v>8</v>
      </c>
      <c r="L48" s="78">
        <v>10</v>
      </c>
      <c r="M48" s="78">
        <v>16</v>
      </c>
      <c r="N48" s="78">
        <v>6</v>
      </c>
      <c r="O48" s="78">
        <v>1</v>
      </c>
      <c r="P48" s="78">
        <v>0</v>
      </c>
      <c r="Q48" s="78">
        <v>0</v>
      </c>
      <c r="R48" s="78">
        <v>0</v>
      </c>
      <c r="S48" s="78">
        <v>0</v>
      </c>
      <c r="T48" s="73">
        <f t="shared" si="2"/>
        <v>44</v>
      </c>
    </row>
    <row r="49" spans="1:20" x14ac:dyDescent="0.3">
      <c r="B49" s="43"/>
      <c r="C49" s="77">
        <v>6.75</v>
      </c>
      <c r="D49" s="78">
        <v>0</v>
      </c>
      <c r="E49" s="78">
        <v>0</v>
      </c>
      <c r="F49" s="78">
        <v>0</v>
      </c>
      <c r="G49" s="78">
        <v>0</v>
      </c>
      <c r="H49" s="78">
        <v>0</v>
      </c>
      <c r="I49" s="78">
        <v>0</v>
      </c>
      <c r="J49" s="78">
        <v>0</v>
      </c>
      <c r="K49" s="78">
        <v>0</v>
      </c>
      <c r="L49" s="78">
        <v>2</v>
      </c>
      <c r="M49" s="78">
        <v>4</v>
      </c>
      <c r="N49" s="78">
        <v>1</v>
      </c>
      <c r="O49" s="78">
        <v>1</v>
      </c>
      <c r="P49" s="78">
        <v>0</v>
      </c>
      <c r="Q49" s="78">
        <v>0</v>
      </c>
      <c r="R49" s="78">
        <v>0</v>
      </c>
      <c r="S49" s="78">
        <v>0</v>
      </c>
      <c r="T49" s="73">
        <f t="shared" si="2"/>
        <v>8</v>
      </c>
    </row>
    <row r="50" spans="1:20" x14ac:dyDescent="0.3">
      <c r="B50" s="43"/>
      <c r="C50" s="77">
        <v>7.25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1</v>
      </c>
      <c r="L50" s="78">
        <v>1</v>
      </c>
      <c r="M50" s="78">
        <v>2</v>
      </c>
      <c r="N50" s="78">
        <v>1</v>
      </c>
      <c r="O50" s="78">
        <v>1</v>
      </c>
      <c r="P50" s="78">
        <v>0</v>
      </c>
      <c r="Q50" s="78">
        <v>0</v>
      </c>
      <c r="R50" s="78">
        <v>0</v>
      </c>
      <c r="S50" s="78">
        <v>0</v>
      </c>
      <c r="T50" s="73">
        <f t="shared" si="2"/>
        <v>6</v>
      </c>
    </row>
    <row r="51" spans="1:20" x14ac:dyDescent="0.3">
      <c r="B51" s="43"/>
      <c r="C51" s="77">
        <v>7.75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8">
        <v>0</v>
      </c>
      <c r="L51" s="78">
        <v>0</v>
      </c>
      <c r="M51" s="78">
        <v>2</v>
      </c>
      <c r="N51" s="78">
        <v>1</v>
      </c>
      <c r="O51" s="78">
        <v>0</v>
      </c>
      <c r="P51" s="78">
        <v>0</v>
      </c>
      <c r="Q51" s="78">
        <v>0</v>
      </c>
      <c r="R51" s="78">
        <v>0</v>
      </c>
      <c r="S51" s="78">
        <v>0</v>
      </c>
      <c r="T51" s="73">
        <f t="shared" si="2"/>
        <v>3</v>
      </c>
    </row>
    <row r="52" spans="1:20" x14ac:dyDescent="0.3">
      <c r="B52" s="43"/>
      <c r="C52" s="77">
        <v>8.25</v>
      </c>
      <c r="D52" s="78">
        <v>0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78">
        <v>0</v>
      </c>
      <c r="K52" s="78">
        <v>0</v>
      </c>
      <c r="L52" s="78">
        <v>0</v>
      </c>
      <c r="M52" s="78">
        <v>0</v>
      </c>
      <c r="N52" s="78">
        <v>1</v>
      </c>
      <c r="O52" s="78">
        <v>0</v>
      </c>
      <c r="P52" s="78">
        <v>0</v>
      </c>
      <c r="Q52" s="78">
        <v>0</v>
      </c>
      <c r="R52" s="78">
        <v>0</v>
      </c>
      <c r="S52" s="78">
        <v>0</v>
      </c>
      <c r="T52" s="73">
        <f t="shared" si="2"/>
        <v>1</v>
      </c>
    </row>
    <row r="53" spans="1:20" x14ac:dyDescent="0.3">
      <c r="B53" s="43"/>
      <c r="C53" s="77">
        <v>8.75</v>
      </c>
      <c r="D53" s="78">
        <v>0</v>
      </c>
      <c r="E53" s="78">
        <v>0</v>
      </c>
      <c r="F53" s="78">
        <v>0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0</v>
      </c>
      <c r="M53" s="78">
        <v>0</v>
      </c>
      <c r="N53" s="78">
        <v>2</v>
      </c>
      <c r="O53" s="78">
        <v>0</v>
      </c>
      <c r="P53" s="78">
        <v>0</v>
      </c>
      <c r="Q53" s="78">
        <v>0</v>
      </c>
      <c r="R53" s="78">
        <v>0</v>
      </c>
      <c r="S53" s="78">
        <v>0</v>
      </c>
      <c r="T53" s="73">
        <f t="shared" si="2"/>
        <v>2</v>
      </c>
    </row>
    <row r="54" spans="1:20" x14ac:dyDescent="0.3">
      <c r="B54" s="43"/>
      <c r="C54" s="77">
        <v>9.25</v>
      </c>
      <c r="D54" s="78">
        <v>0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8">
        <v>0</v>
      </c>
      <c r="L54" s="78">
        <v>0</v>
      </c>
      <c r="M54" s="78">
        <v>0</v>
      </c>
      <c r="N54" s="78">
        <v>0</v>
      </c>
      <c r="O54" s="78">
        <v>0</v>
      </c>
      <c r="P54" s="78">
        <v>0</v>
      </c>
      <c r="Q54" s="78">
        <v>0</v>
      </c>
      <c r="R54" s="78">
        <v>0</v>
      </c>
      <c r="S54" s="78">
        <v>0</v>
      </c>
      <c r="T54" s="73">
        <f t="shared" si="2"/>
        <v>0</v>
      </c>
    </row>
    <row r="55" spans="1:20" x14ac:dyDescent="0.3">
      <c r="B55" s="43"/>
      <c r="C55" s="77">
        <v>9.75</v>
      </c>
      <c r="D55" s="78">
        <v>0</v>
      </c>
      <c r="E55" s="78">
        <v>0</v>
      </c>
      <c r="F55" s="78">
        <v>0</v>
      </c>
      <c r="G55" s="78">
        <v>0</v>
      </c>
      <c r="H55" s="78">
        <v>0</v>
      </c>
      <c r="I55" s="78">
        <v>0</v>
      </c>
      <c r="J55" s="78">
        <v>0</v>
      </c>
      <c r="K55" s="78">
        <v>0</v>
      </c>
      <c r="L55" s="78">
        <v>0</v>
      </c>
      <c r="M55" s="78">
        <v>0</v>
      </c>
      <c r="N55" s="78">
        <v>0</v>
      </c>
      <c r="O55" s="78">
        <v>0</v>
      </c>
      <c r="P55" s="78">
        <v>0</v>
      </c>
      <c r="Q55" s="78">
        <v>0</v>
      </c>
      <c r="R55" s="78">
        <v>0</v>
      </c>
      <c r="S55" s="78">
        <v>0</v>
      </c>
      <c r="T55" s="73">
        <f t="shared" si="2"/>
        <v>0</v>
      </c>
    </row>
    <row r="56" spans="1:20" x14ac:dyDescent="0.3">
      <c r="B56" s="43"/>
      <c r="C56" s="77"/>
      <c r="D56" s="80">
        <f>SUM(D36:D55)</f>
        <v>2</v>
      </c>
      <c r="E56" s="80">
        <f t="shared" ref="E56:S56" si="3">SUM(E36:E55)</f>
        <v>279</v>
      </c>
      <c r="F56" s="80">
        <f t="shared" si="3"/>
        <v>1612</v>
      </c>
      <c r="G56" s="80">
        <f t="shared" si="3"/>
        <v>2069</v>
      </c>
      <c r="H56" s="80">
        <f t="shared" si="3"/>
        <v>1936</v>
      </c>
      <c r="I56" s="80">
        <f t="shared" si="3"/>
        <v>2182</v>
      </c>
      <c r="J56" s="80">
        <f t="shared" si="3"/>
        <v>1998</v>
      </c>
      <c r="K56" s="80">
        <f t="shared" si="3"/>
        <v>1244</v>
      </c>
      <c r="L56" s="80">
        <f t="shared" si="3"/>
        <v>725</v>
      </c>
      <c r="M56" s="80">
        <f t="shared" si="3"/>
        <v>315</v>
      </c>
      <c r="N56" s="80">
        <f t="shared" si="3"/>
        <v>124</v>
      </c>
      <c r="O56" s="80">
        <f t="shared" si="3"/>
        <v>49</v>
      </c>
      <c r="P56" s="80">
        <f t="shared" si="3"/>
        <v>10</v>
      </c>
      <c r="Q56" s="80">
        <f t="shared" si="3"/>
        <v>2</v>
      </c>
      <c r="R56" s="80">
        <f t="shared" si="3"/>
        <v>0</v>
      </c>
      <c r="S56" s="80">
        <f t="shared" si="3"/>
        <v>0</v>
      </c>
      <c r="T56" s="73">
        <f>SUM(T36:T55)</f>
        <v>12547</v>
      </c>
    </row>
    <row r="59" spans="1:20" x14ac:dyDescent="0.3">
      <c r="A59" s="7">
        <v>2</v>
      </c>
      <c r="B59" s="7" t="s">
        <v>131</v>
      </c>
    </row>
    <row r="61" spans="1:20" x14ac:dyDescent="0.3">
      <c r="B61" s="43"/>
      <c r="C61" s="43"/>
      <c r="D61" s="43" t="s">
        <v>117</v>
      </c>
      <c r="E61" s="51"/>
      <c r="F61" s="51"/>
      <c r="G61" s="51"/>
      <c r="H61" s="51"/>
      <c r="I61" s="43"/>
      <c r="J61" s="43"/>
      <c r="K61" s="43"/>
      <c r="L61" s="43"/>
      <c r="M61" s="43"/>
      <c r="N61" s="43"/>
      <c r="O61" s="43"/>
      <c r="P61" s="43"/>
      <c r="Q61" s="43"/>
      <c r="R61" s="74"/>
      <c r="S61" s="74"/>
      <c r="T61" s="43"/>
    </row>
    <row r="62" spans="1:20" x14ac:dyDescent="0.3">
      <c r="B62" s="43"/>
      <c r="C62" s="75"/>
      <c r="D62" s="76">
        <v>4.5</v>
      </c>
      <c r="E62" s="76">
        <v>5.5</v>
      </c>
      <c r="F62" s="76">
        <v>6.5</v>
      </c>
      <c r="G62" s="76">
        <v>7.5</v>
      </c>
      <c r="H62" s="76">
        <v>8.5</v>
      </c>
      <c r="I62" s="76">
        <v>9.5</v>
      </c>
      <c r="J62" s="76">
        <v>10.5</v>
      </c>
      <c r="K62" s="76">
        <v>11.5</v>
      </c>
      <c r="L62" s="76">
        <v>12.5</v>
      </c>
      <c r="M62" s="76">
        <v>13.5</v>
      </c>
      <c r="N62" s="76">
        <v>14.5</v>
      </c>
      <c r="O62" s="76">
        <v>15.5</v>
      </c>
      <c r="P62" s="76">
        <v>16.5</v>
      </c>
      <c r="Q62" s="76">
        <v>17.5</v>
      </c>
      <c r="R62" s="76">
        <v>18.5</v>
      </c>
      <c r="S62" s="76">
        <v>19.5</v>
      </c>
      <c r="T62" s="43"/>
    </row>
    <row r="63" spans="1:20" x14ac:dyDescent="0.3">
      <c r="B63" s="43" t="s">
        <v>118</v>
      </c>
      <c r="C63" s="77">
        <v>0.25</v>
      </c>
      <c r="D63" s="78">
        <v>0</v>
      </c>
      <c r="E63" s="78">
        <v>0</v>
      </c>
      <c r="F63" s="78">
        <v>0</v>
      </c>
      <c r="G63" s="78">
        <v>0</v>
      </c>
      <c r="H63" s="78">
        <v>0</v>
      </c>
      <c r="I63" s="78">
        <v>0</v>
      </c>
      <c r="J63" s="78">
        <v>0</v>
      </c>
      <c r="K63" s="78">
        <v>0</v>
      </c>
      <c r="L63" s="78">
        <v>0</v>
      </c>
      <c r="M63" s="78">
        <v>0</v>
      </c>
      <c r="N63" s="78">
        <v>0</v>
      </c>
      <c r="O63" s="78">
        <v>0</v>
      </c>
      <c r="P63" s="78">
        <v>0</v>
      </c>
      <c r="Q63" s="78">
        <v>0</v>
      </c>
      <c r="R63" s="78">
        <v>0</v>
      </c>
      <c r="S63" s="78">
        <v>0</v>
      </c>
      <c r="T63" s="73">
        <f>SUM(D63:S63)</f>
        <v>0</v>
      </c>
    </row>
    <row r="64" spans="1:20" x14ac:dyDescent="0.3">
      <c r="B64" s="43"/>
      <c r="C64" s="77">
        <v>0.75</v>
      </c>
      <c r="D64" s="78">
        <v>0</v>
      </c>
      <c r="E64" s="78">
        <v>0.02</v>
      </c>
      <c r="F64" s="78">
        <v>0.4</v>
      </c>
      <c r="G64" s="78">
        <v>0.93</v>
      </c>
      <c r="H64" s="78">
        <v>1.03</v>
      </c>
      <c r="I64" s="78">
        <v>1.02</v>
      </c>
      <c r="J64" s="78">
        <v>0.57999999999999996</v>
      </c>
      <c r="K64" s="78">
        <v>0.42</v>
      </c>
      <c r="L64" s="78">
        <v>0.12</v>
      </c>
      <c r="M64" s="78">
        <v>0.06</v>
      </c>
      <c r="N64" s="78">
        <v>0.01</v>
      </c>
      <c r="O64" s="78">
        <v>0</v>
      </c>
      <c r="P64" s="78">
        <v>0</v>
      </c>
      <c r="Q64" s="78">
        <v>0</v>
      </c>
      <c r="R64" s="78">
        <v>0</v>
      </c>
      <c r="S64" s="78">
        <v>0</v>
      </c>
      <c r="T64" s="73">
        <f t="shared" ref="T64:T82" si="4">SUM(D64:S64)</f>
        <v>4.59</v>
      </c>
    </row>
    <row r="65" spans="2:20" x14ac:dyDescent="0.3">
      <c r="B65" s="43"/>
      <c r="C65" s="77">
        <v>1.25</v>
      </c>
      <c r="D65" s="78">
        <v>0</v>
      </c>
      <c r="E65" s="78">
        <v>0.1</v>
      </c>
      <c r="F65" s="78">
        <v>1.51</v>
      </c>
      <c r="G65" s="78">
        <v>5.04</v>
      </c>
      <c r="H65" s="78">
        <v>6.11</v>
      </c>
      <c r="I65" s="78">
        <v>4.68</v>
      </c>
      <c r="J65" s="78">
        <v>2.2400000000000002</v>
      </c>
      <c r="K65" s="78">
        <v>1.29</v>
      </c>
      <c r="L65" s="78">
        <v>0.49</v>
      </c>
      <c r="M65" s="78">
        <v>0.11</v>
      </c>
      <c r="N65" s="78">
        <v>0.04</v>
      </c>
      <c r="O65" s="78">
        <v>0</v>
      </c>
      <c r="P65" s="78">
        <v>0</v>
      </c>
      <c r="Q65" s="78">
        <v>0</v>
      </c>
      <c r="R65" s="78">
        <v>0</v>
      </c>
      <c r="S65" s="78">
        <v>0</v>
      </c>
      <c r="T65" s="73">
        <f t="shared" si="4"/>
        <v>21.609999999999996</v>
      </c>
    </row>
    <row r="66" spans="2:20" x14ac:dyDescent="0.3">
      <c r="B66" s="43"/>
      <c r="C66" s="77">
        <v>1.75</v>
      </c>
      <c r="D66" s="78">
        <v>0</v>
      </c>
      <c r="E66" s="78">
        <v>0.01</v>
      </c>
      <c r="F66" s="78">
        <v>0.72</v>
      </c>
      <c r="G66" s="78">
        <v>3.57</v>
      </c>
      <c r="H66" s="78">
        <v>6.6</v>
      </c>
      <c r="I66" s="78">
        <v>4.6900000000000004</v>
      </c>
      <c r="J66" s="78">
        <v>2.0099999999999998</v>
      </c>
      <c r="K66" s="78">
        <v>1.18</v>
      </c>
      <c r="L66" s="78">
        <v>0.56999999999999995</v>
      </c>
      <c r="M66" s="78">
        <v>0.28000000000000003</v>
      </c>
      <c r="N66" s="78">
        <v>0.03</v>
      </c>
      <c r="O66" s="78">
        <v>0.02</v>
      </c>
      <c r="P66" s="78">
        <v>0</v>
      </c>
      <c r="Q66" s="78">
        <v>0</v>
      </c>
      <c r="R66" s="78">
        <v>0</v>
      </c>
      <c r="S66" s="78">
        <v>0</v>
      </c>
      <c r="T66" s="73">
        <f t="shared" si="4"/>
        <v>19.680000000000003</v>
      </c>
    </row>
    <row r="67" spans="2:20" x14ac:dyDescent="0.3">
      <c r="B67" s="43"/>
      <c r="C67" s="77">
        <v>2.25</v>
      </c>
      <c r="D67" s="78">
        <v>0</v>
      </c>
      <c r="E67" s="78">
        <v>0</v>
      </c>
      <c r="F67" s="78">
        <v>0.12</v>
      </c>
      <c r="G67" s="78">
        <v>1.54</v>
      </c>
      <c r="H67" s="78">
        <v>3.76</v>
      </c>
      <c r="I67" s="78">
        <v>4.2</v>
      </c>
      <c r="J67" s="78">
        <v>2.7</v>
      </c>
      <c r="K67" s="78">
        <v>1.4</v>
      </c>
      <c r="L67" s="78">
        <v>0.72</v>
      </c>
      <c r="M67" s="78">
        <v>0.44</v>
      </c>
      <c r="N67" s="78">
        <v>0.11</v>
      </c>
      <c r="O67" s="78">
        <v>0.05</v>
      </c>
      <c r="P67" s="78">
        <v>0</v>
      </c>
      <c r="Q67" s="78">
        <v>0</v>
      </c>
      <c r="R67" s="78">
        <v>0</v>
      </c>
      <c r="S67" s="78">
        <v>0</v>
      </c>
      <c r="T67" s="73">
        <f t="shared" si="4"/>
        <v>15.040000000000001</v>
      </c>
    </row>
    <row r="68" spans="2:20" x14ac:dyDescent="0.3">
      <c r="B68" s="43"/>
      <c r="C68" s="77">
        <v>2.75</v>
      </c>
      <c r="D68" s="78">
        <v>0</v>
      </c>
      <c r="E68" s="78">
        <v>0</v>
      </c>
      <c r="F68" s="78">
        <v>0.04</v>
      </c>
      <c r="G68" s="78">
        <v>0.66</v>
      </c>
      <c r="H68" s="78">
        <v>2.16</v>
      </c>
      <c r="I68" s="78">
        <v>3.36</v>
      </c>
      <c r="J68" s="78">
        <v>3.07</v>
      </c>
      <c r="K68" s="78">
        <v>1.4</v>
      </c>
      <c r="L68" s="78">
        <v>0.63</v>
      </c>
      <c r="M68" s="78">
        <v>0.34</v>
      </c>
      <c r="N68" s="78">
        <v>0.11</v>
      </c>
      <c r="O68" s="78">
        <v>7.0000000000000007E-2</v>
      </c>
      <c r="P68" s="78">
        <v>0</v>
      </c>
      <c r="Q68" s="78">
        <v>0</v>
      </c>
      <c r="R68" s="78">
        <v>0</v>
      </c>
      <c r="S68" s="78">
        <v>0</v>
      </c>
      <c r="T68" s="73">
        <f t="shared" si="4"/>
        <v>11.840000000000002</v>
      </c>
    </row>
    <row r="69" spans="2:20" x14ac:dyDescent="0.3">
      <c r="B69" s="43"/>
      <c r="C69" s="77">
        <v>3.25</v>
      </c>
      <c r="D69" s="78">
        <v>0</v>
      </c>
      <c r="E69" s="78">
        <v>0</v>
      </c>
      <c r="F69" s="78">
        <v>0</v>
      </c>
      <c r="G69" s="78">
        <v>0.17</v>
      </c>
      <c r="H69" s="78">
        <v>1.34</v>
      </c>
      <c r="I69" s="78">
        <v>2.3199999999999998</v>
      </c>
      <c r="J69" s="78">
        <v>2.63</v>
      </c>
      <c r="K69" s="78">
        <v>1.45</v>
      </c>
      <c r="L69" s="78">
        <v>0.6</v>
      </c>
      <c r="M69" s="78">
        <v>0.24</v>
      </c>
      <c r="N69" s="78">
        <v>0.1</v>
      </c>
      <c r="O69" s="78">
        <v>0.02</v>
      </c>
      <c r="P69" s="78">
        <v>0.03</v>
      </c>
      <c r="Q69" s="78">
        <v>0</v>
      </c>
      <c r="R69" s="78">
        <v>0</v>
      </c>
      <c r="S69" s="78">
        <v>0</v>
      </c>
      <c r="T69" s="73">
        <f t="shared" si="4"/>
        <v>8.8999999999999986</v>
      </c>
    </row>
    <row r="70" spans="2:20" x14ac:dyDescent="0.3">
      <c r="B70" s="43"/>
      <c r="C70" s="77">
        <v>3.75</v>
      </c>
      <c r="D70" s="78">
        <v>0</v>
      </c>
      <c r="E70" s="78">
        <v>0</v>
      </c>
      <c r="F70" s="78">
        <v>0</v>
      </c>
      <c r="G70" s="78">
        <v>0.04</v>
      </c>
      <c r="H70" s="78">
        <v>0.77</v>
      </c>
      <c r="I70" s="78">
        <v>1.96</v>
      </c>
      <c r="J70" s="78">
        <v>1.98</v>
      </c>
      <c r="K70" s="78">
        <v>1.1499999999999999</v>
      </c>
      <c r="L70" s="78">
        <v>0.67</v>
      </c>
      <c r="M70" s="78">
        <v>0.21</v>
      </c>
      <c r="N70" s="78">
        <v>0.08</v>
      </c>
      <c r="O70" s="78">
        <v>0.01</v>
      </c>
      <c r="P70" s="78">
        <v>0.03</v>
      </c>
      <c r="Q70" s="78">
        <v>0</v>
      </c>
      <c r="R70" s="78">
        <v>0</v>
      </c>
      <c r="S70" s="78">
        <v>0</v>
      </c>
      <c r="T70" s="73">
        <f t="shared" si="4"/>
        <v>6.9</v>
      </c>
    </row>
    <row r="71" spans="2:20" x14ac:dyDescent="0.3">
      <c r="B71" s="43"/>
      <c r="C71" s="77">
        <v>4.25</v>
      </c>
      <c r="D71" s="78">
        <v>0</v>
      </c>
      <c r="E71" s="78">
        <v>0</v>
      </c>
      <c r="F71" s="78">
        <v>0</v>
      </c>
      <c r="G71" s="78">
        <v>0</v>
      </c>
      <c r="H71" s="78">
        <v>0.28000000000000003</v>
      </c>
      <c r="I71" s="78">
        <v>1.3</v>
      </c>
      <c r="J71" s="78">
        <v>1.52</v>
      </c>
      <c r="K71" s="78">
        <v>0.84</v>
      </c>
      <c r="L71" s="78">
        <v>0.45</v>
      </c>
      <c r="M71" s="78">
        <v>0.2</v>
      </c>
      <c r="N71" s="78">
        <v>0.11</v>
      </c>
      <c r="O71" s="78">
        <v>0.04</v>
      </c>
      <c r="P71" s="78">
        <v>0</v>
      </c>
      <c r="Q71" s="78">
        <v>0</v>
      </c>
      <c r="R71" s="78">
        <v>0</v>
      </c>
      <c r="S71" s="78">
        <v>0</v>
      </c>
      <c r="T71" s="73">
        <f t="shared" si="4"/>
        <v>4.74</v>
      </c>
    </row>
    <row r="72" spans="2:20" x14ac:dyDescent="0.3">
      <c r="B72" s="43"/>
      <c r="C72" s="77">
        <v>4.75</v>
      </c>
      <c r="D72" s="78">
        <v>0</v>
      </c>
      <c r="E72" s="78">
        <v>0</v>
      </c>
      <c r="F72" s="78">
        <v>0</v>
      </c>
      <c r="G72" s="78">
        <v>0</v>
      </c>
      <c r="H72" s="78">
        <v>0.04</v>
      </c>
      <c r="I72" s="78">
        <v>0.62</v>
      </c>
      <c r="J72" s="78">
        <v>0.91</v>
      </c>
      <c r="K72" s="78">
        <v>0.74</v>
      </c>
      <c r="L72" s="78">
        <v>0.35</v>
      </c>
      <c r="M72" s="78">
        <v>0.19</v>
      </c>
      <c r="N72" s="78">
        <v>0.08</v>
      </c>
      <c r="O72" s="78">
        <v>0.02</v>
      </c>
      <c r="P72" s="78">
        <v>0</v>
      </c>
      <c r="Q72" s="78">
        <v>0</v>
      </c>
      <c r="R72" s="78">
        <v>0</v>
      </c>
      <c r="S72" s="78">
        <v>0</v>
      </c>
      <c r="T72" s="73">
        <f t="shared" si="4"/>
        <v>2.95</v>
      </c>
    </row>
    <row r="73" spans="2:20" x14ac:dyDescent="0.3">
      <c r="B73" s="43"/>
      <c r="C73" s="77">
        <v>5.25</v>
      </c>
      <c r="D73" s="78">
        <v>0</v>
      </c>
      <c r="E73" s="78">
        <v>0</v>
      </c>
      <c r="F73" s="78">
        <v>0</v>
      </c>
      <c r="G73" s="78">
        <v>0</v>
      </c>
      <c r="H73" s="78">
        <v>0</v>
      </c>
      <c r="I73" s="78">
        <v>0.16</v>
      </c>
      <c r="J73" s="78">
        <v>0.3</v>
      </c>
      <c r="K73" s="78">
        <v>0.56000000000000005</v>
      </c>
      <c r="L73" s="78">
        <v>0.35</v>
      </c>
      <c r="M73" s="78">
        <v>0.13</v>
      </c>
      <c r="N73" s="78">
        <v>7.0000000000000007E-2</v>
      </c>
      <c r="O73" s="78">
        <v>0.02</v>
      </c>
      <c r="P73" s="78">
        <v>0</v>
      </c>
      <c r="Q73" s="78">
        <v>0</v>
      </c>
      <c r="R73" s="78">
        <v>0</v>
      </c>
      <c r="S73" s="78">
        <v>0</v>
      </c>
      <c r="T73" s="73">
        <f t="shared" si="4"/>
        <v>1.59</v>
      </c>
    </row>
    <row r="74" spans="2:20" x14ac:dyDescent="0.3">
      <c r="B74" s="43"/>
      <c r="C74" s="77">
        <v>5.75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8">
        <v>0.03</v>
      </c>
      <c r="J74" s="78">
        <v>0.18</v>
      </c>
      <c r="K74" s="78">
        <v>0.27</v>
      </c>
      <c r="L74" s="78">
        <v>0.2</v>
      </c>
      <c r="M74" s="78">
        <v>0.1</v>
      </c>
      <c r="N74" s="78">
        <v>0.04</v>
      </c>
      <c r="O74" s="78">
        <v>0</v>
      </c>
      <c r="P74" s="78">
        <v>0</v>
      </c>
      <c r="Q74" s="78">
        <v>0</v>
      </c>
      <c r="R74" s="78">
        <v>0</v>
      </c>
      <c r="S74" s="78">
        <v>0</v>
      </c>
      <c r="T74" s="73">
        <f t="shared" si="4"/>
        <v>0.82</v>
      </c>
    </row>
    <row r="75" spans="2:20" x14ac:dyDescent="0.3">
      <c r="B75" s="43"/>
      <c r="C75" s="77">
        <v>6.25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0.02</v>
      </c>
      <c r="J75" s="78">
        <v>7.0000000000000007E-2</v>
      </c>
      <c r="K75" s="78">
        <v>0.17</v>
      </c>
      <c r="L75" s="78">
        <v>0.17</v>
      </c>
      <c r="M75" s="78">
        <v>0.08</v>
      </c>
      <c r="N75" s="78">
        <v>0.02</v>
      </c>
      <c r="O75" s="78">
        <v>0</v>
      </c>
      <c r="P75" s="78">
        <v>0</v>
      </c>
      <c r="Q75" s="78">
        <v>0</v>
      </c>
      <c r="R75" s="78">
        <v>0</v>
      </c>
      <c r="S75" s="78">
        <v>0</v>
      </c>
      <c r="T75" s="73">
        <f t="shared" si="4"/>
        <v>0.53</v>
      </c>
    </row>
    <row r="76" spans="2:20" x14ac:dyDescent="0.3">
      <c r="B76" s="43"/>
      <c r="C76" s="77">
        <v>6.75</v>
      </c>
      <c r="D76" s="78">
        <v>0</v>
      </c>
      <c r="E76" s="78">
        <v>0</v>
      </c>
      <c r="F76" s="78">
        <v>0</v>
      </c>
      <c r="G76" s="78">
        <v>0</v>
      </c>
      <c r="H76" s="78">
        <v>0</v>
      </c>
      <c r="I76" s="78">
        <v>0</v>
      </c>
      <c r="J76" s="78">
        <v>0.04</v>
      </c>
      <c r="K76" s="78">
        <v>0.04</v>
      </c>
      <c r="L76" s="78">
        <v>0.09</v>
      </c>
      <c r="M76" s="78">
        <v>0.05</v>
      </c>
      <c r="N76" s="78">
        <v>0.02</v>
      </c>
      <c r="O76" s="78">
        <v>0</v>
      </c>
      <c r="P76" s="78">
        <v>0</v>
      </c>
      <c r="Q76" s="78">
        <v>0</v>
      </c>
      <c r="R76" s="78">
        <v>0</v>
      </c>
      <c r="S76" s="78">
        <v>0</v>
      </c>
      <c r="T76" s="73">
        <f t="shared" si="4"/>
        <v>0.23999999999999996</v>
      </c>
    </row>
    <row r="77" spans="2:20" x14ac:dyDescent="0.3">
      <c r="B77" s="43"/>
      <c r="C77" s="77">
        <v>7.25</v>
      </c>
      <c r="D77" s="78">
        <v>0</v>
      </c>
      <c r="E77" s="78">
        <v>0</v>
      </c>
      <c r="F77" s="78">
        <v>0</v>
      </c>
      <c r="G77" s="78">
        <v>0</v>
      </c>
      <c r="H77" s="78">
        <v>0</v>
      </c>
      <c r="I77" s="78">
        <v>0</v>
      </c>
      <c r="J77" s="78">
        <v>0</v>
      </c>
      <c r="K77" s="78">
        <v>0.03</v>
      </c>
      <c r="L77" s="78">
        <v>7.0000000000000007E-2</v>
      </c>
      <c r="M77" s="78">
        <v>0.06</v>
      </c>
      <c r="N77" s="78">
        <v>0</v>
      </c>
      <c r="O77" s="78">
        <v>0.01</v>
      </c>
      <c r="P77" s="78">
        <v>0</v>
      </c>
      <c r="Q77" s="78">
        <v>0</v>
      </c>
      <c r="R77" s="78">
        <v>0</v>
      </c>
      <c r="S77" s="78">
        <v>0</v>
      </c>
      <c r="T77" s="73">
        <f t="shared" si="4"/>
        <v>0.17</v>
      </c>
    </row>
    <row r="78" spans="2:20" x14ac:dyDescent="0.3">
      <c r="B78" s="43"/>
      <c r="C78" s="77">
        <v>7.75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0</v>
      </c>
      <c r="J78" s="78">
        <v>0</v>
      </c>
      <c r="K78" s="78">
        <v>0.03</v>
      </c>
      <c r="L78" s="78">
        <v>0.03</v>
      </c>
      <c r="M78" s="78">
        <v>0</v>
      </c>
      <c r="N78" s="78">
        <v>0.03</v>
      </c>
      <c r="O78" s="78">
        <v>0</v>
      </c>
      <c r="P78" s="78">
        <v>0</v>
      </c>
      <c r="Q78" s="78">
        <v>0</v>
      </c>
      <c r="R78" s="78">
        <v>0</v>
      </c>
      <c r="S78" s="78">
        <v>0</v>
      </c>
      <c r="T78" s="73">
        <f t="shared" si="4"/>
        <v>0.09</v>
      </c>
    </row>
    <row r="79" spans="2:20" x14ac:dyDescent="0.3">
      <c r="B79" s="43"/>
      <c r="C79" s="77">
        <v>8.25</v>
      </c>
      <c r="D79" s="78">
        <v>0</v>
      </c>
      <c r="E79" s="78">
        <v>0</v>
      </c>
      <c r="F79" s="78">
        <v>0</v>
      </c>
      <c r="G79" s="78">
        <v>0</v>
      </c>
      <c r="H79" s="78">
        <v>0</v>
      </c>
      <c r="I79" s="78">
        <v>0</v>
      </c>
      <c r="J79" s="78">
        <v>0</v>
      </c>
      <c r="K79" s="78">
        <v>0.01</v>
      </c>
      <c r="L79" s="78">
        <v>0.05</v>
      </c>
      <c r="M79" s="78">
        <v>0</v>
      </c>
      <c r="N79" s="78">
        <v>0</v>
      </c>
      <c r="O79" s="78">
        <v>0</v>
      </c>
      <c r="P79" s="78">
        <v>0</v>
      </c>
      <c r="Q79" s="78">
        <v>0</v>
      </c>
      <c r="R79" s="78">
        <v>0</v>
      </c>
      <c r="S79" s="78">
        <v>0</v>
      </c>
      <c r="T79" s="73">
        <f t="shared" si="4"/>
        <v>6.0000000000000005E-2</v>
      </c>
    </row>
    <row r="80" spans="2:20" x14ac:dyDescent="0.3">
      <c r="B80" s="43"/>
      <c r="C80" s="77">
        <v>8.75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8">
        <v>0</v>
      </c>
      <c r="L80" s="78">
        <v>0.02</v>
      </c>
      <c r="M80" s="78">
        <v>0</v>
      </c>
      <c r="N80" s="78">
        <v>0</v>
      </c>
      <c r="O80" s="78">
        <v>0</v>
      </c>
      <c r="P80" s="78">
        <v>0</v>
      </c>
      <c r="Q80" s="78">
        <v>0</v>
      </c>
      <c r="R80" s="78">
        <v>0</v>
      </c>
      <c r="S80" s="78">
        <v>0</v>
      </c>
      <c r="T80" s="73">
        <f t="shared" si="4"/>
        <v>0.02</v>
      </c>
    </row>
    <row r="81" spans="1:22" x14ac:dyDescent="0.3">
      <c r="B81" s="43"/>
      <c r="C81" s="77">
        <v>9.25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8">
        <v>0</v>
      </c>
      <c r="L81" s="78">
        <v>0.01</v>
      </c>
      <c r="M81" s="78">
        <v>0</v>
      </c>
      <c r="N81" s="78">
        <v>0</v>
      </c>
      <c r="O81" s="78">
        <v>0</v>
      </c>
      <c r="P81" s="78">
        <v>0</v>
      </c>
      <c r="Q81" s="78">
        <v>0</v>
      </c>
      <c r="R81" s="78">
        <v>0</v>
      </c>
      <c r="S81" s="78">
        <v>0</v>
      </c>
      <c r="T81" s="73">
        <f t="shared" si="4"/>
        <v>0.01</v>
      </c>
    </row>
    <row r="82" spans="1:22" x14ac:dyDescent="0.3">
      <c r="B82" s="43"/>
      <c r="C82" s="77">
        <v>9.75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78">
        <v>0</v>
      </c>
      <c r="Q82" s="78">
        <v>0</v>
      </c>
      <c r="R82" s="78">
        <v>0</v>
      </c>
      <c r="S82" s="78">
        <v>0</v>
      </c>
      <c r="T82" s="73">
        <f t="shared" si="4"/>
        <v>0</v>
      </c>
    </row>
    <row r="83" spans="1:22" x14ac:dyDescent="0.3">
      <c r="B83" s="43"/>
      <c r="C83" s="77"/>
      <c r="D83" s="80">
        <f>SUM(D63:D82)</f>
        <v>0</v>
      </c>
      <c r="E83" s="80">
        <f t="shared" ref="E83:S83" si="5">SUM(E63:E82)</f>
        <v>0.13</v>
      </c>
      <c r="F83" s="80">
        <f t="shared" si="5"/>
        <v>2.79</v>
      </c>
      <c r="G83" s="80">
        <f t="shared" si="5"/>
        <v>11.949999999999998</v>
      </c>
      <c r="H83" s="80">
        <f t="shared" si="5"/>
        <v>22.09</v>
      </c>
      <c r="I83" s="80">
        <f t="shared" si="5"/>
        <v>24.360000000000003</v>
      </c>
      <c r="J83" s="80">
        <f t="shared" si="5"/>
        <v>18.23</v>
      </c>
      <c r="K83" s="80">
        <f t="shared" si="5"/>
        <v>10.979999999999997</v>
      </c>
      <c r="L83" s="80">
        <f t="shared" si="5"/>
        <v>5.589999999999999</v>
      </c>
      <c r="M83" s="80">
        <f t="shared" si="5"/>
        <v>2.4899999999999998</v>
      </c>
      <c r="N83" s="80">
        <f t="shared" si="5"/>
        <v>0.85000000000000009</v>
      </c>
      <c r="O83" s="80">
        <f t="shared" si="5"/>
        <v>0.26</v>
      </c>
      <c r="P83" s="80">
        <f t="shared" si="5"/>
        <v>0.06</v>
      </c>
      <c r="Q83" s="80">
        <f t="shared" si="5"/>
        <v>0</v>
      </c>
      <c r="R83" s="80">
        <f t="shared" si="5"/>
        <v>0</v>
      </c>
      <c r="S83" s="80">
        <f t="shared" si="5"/>
        <v>0</v>
      </c>
      <c r="T83" s="73">
        <f>SUM(D63:S82)</f>
        <v>99.779999999999944</v>
      </c>
    </row>
    <row r="86" spans="1:22" x14ac:dyDescent="0.3">
      <c r="A86" s="7">
        <v>3</v>
      </c>
      <c r="B86" s="7" t="s">
        <v>269</v>
      </c>
    </row>
    <row r="87" spans="1:22" x14ac:dyDescent="0.3">
      <c r="E87">
        <v>5</v>
      </c>
      <c r="F87">
        <v>6</v>
      </c>
      <c r="G87">
        <v>7</v>
      </c>
      <c r="H87">
        <v>8</v>
      </c>
      <c r="I87">
        <v>9</v>
      </c>
      <c r="J87">
        <v>10</v>
      </c>
      <c r="K87">
        <v>11</v>
      </c>
      <c r="L87">
        <v>12</v>
      </c>
      <c r="M87">
        <v>13</v>
      </c>
      <c r="N87">
        <v>14</v>
      </c>
      <c r="O87">
        <v>15</v>
      </c>
      <c r="P87">
        <v>16</v>
      </c>
      <c r="Q87">
        <v>17</v>
      </c>
      <c r="R87">
        <v>18</v>
      </c>
      <c r="S87">
        <v>19</v>
      </c>
    </row>
    <row r="88" spans="1:22" x14ac:dyDescent="0.3">
      <c r="B88" s="43"/>
      <c r="C88" s="43"/>
      <c r="D88" s="43" t="s">
        <v>117</v>
      </c>
      <c r="E88" s="43">
        <v>6</v>
      </c>
      <c r="F88" s="43">
        <v>7</v>
      </c>
      <c r="G88" s="43">
        <v>8</v>
      </c>
      <c r="H88" s="43">
        <v>9</v>
      </c>
      <c r="I88" s="43">
        <v>10</v>
      </c>
      <c r="J88" s="43">
        <v>11</v>
      </c>
      <c r="K88" s="43">
        <v>12</v>
      </c>
      <c r="L88" s="43">
        <v>13</v>
      </c>
      <c r="M88" s="43">
        <v>14</v>
      </c>
      <c r="N88" s="43">
        <v>15</v>
      </c>
      <c r="O88" s="43">
        <v>16</v>
      </c>
      <c r="P88" s="43">
        <v>17</v>
      </c>
      <c r="Q88" s="43">
        <v>18</v>
      </c>
      <c r="R88" s="43">
        <v>19</v>
      </c>
      <c r="S88" s="43">
        <v>20</v>
      </c>
      <c r="T88" s="43"/>
      <c r="V88" s="43"/>
    </row>
    <row r="89" spans="1:22" x14ac:dyDescent="0.3">
      <c r="B89" s="43"/>
      <c r="C89" s="75"/>
      <c r="D89" s="76">
        <v>4.5</v>
      </c>
      <c r="E89" s="76">
        <v>5.5</v>
      </c>
      <c r="F89" s="76">
        <v>6.5</v>
      </c>
      <c r="G89" s="76">
        <v>7.5</v>
      </c>
      <c r="H89" s="76">
        <v>8.5</v>
      </c>
      <c r="I89" s="76">
        <v>9.5</v>
      </c>
      <c r="J89" s="76">
        <v>10.5</v>
      </c>
      <c r="K89" s="76">
        <v>11.5</v>
      </c>
      <c r="L89" s="76">
        <v>12.5</v>
      </c>
      <c r="M89" s="76">
        <v>13.5</v>
      </c>
      <c r="N89" s="76">
        <v>14.5</v>
      </c>
      <c r="O89" s="76">
        <v>15.5</v>
      </c>
      <c r="P89" s="76">
        <v>16.5</v>
      </c>
      <c r="Q89" s="76">
        <v>17.5</v>
      </c>
      <c r="R89" s="76">
        <v>18.5</v>
      </c>
      <c r="S89" s="76">
        <v>19.5</v>
      </c>
      <c r="T89" s="43"/>
      <c r="V89" s="43"/>
    </row>
    <row r="90" spans="1:22" x14ac:dyDescent="0.3">
      <c r="B90" s="43" t="s">
        <v>118</v>
      </c>
      <c r="C90" s="77">
        <v>0.25</v>
      </c>
      <c r="D90" s="78">
        <v>0</v>
      </c>
      <c r="E90" s="78"/>
      <c r="F90" s="78"/>
      <c r="G90" s="78"/>
      <c r="H90" s="78">
        <v>7</v>
      </c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3">
        <f>SUM(D90:S90)</f>
        <v>7</v>
      </c>
      <c r="V90" s="43" t="s">
        <v>118</v>
      </c>
    </row>
    <row r="91" spans="1:22" x14ac:dyDescent="0.3">
      <c r="B91" s="43"/>
      <c r="C91" s="77">
        <v>0.75</v>
      </c>
      <c r="D91" s="78">
        <v>63</v>
      </c>
      <c r="E91" s="81">
        <v>1332</v>
      </c>
      <c r="F91" s="81">
        <v>3446</v>
      </c>
      <c r="G91" s="78">
        <v>3868</v>
      </c>
      <c r="H91" s="78">
        <v>3059</v>
      </c>
      <c r="I91" s="78">
        <v>1406</v>
      </c>
      <c r="J91" s="78">
        <v>746</v>
      </c>
      <c r="K91" s="78">
        <v>343</v>
      </c>
      <c r="L91" s="78">
        <v>89</v>
      </c>
      <c r="M91" s="78">
        <v>166</v>
      </c>
      <c r="N91" s="78">
        <v>32</v>
      </c>
      <c r="O91" s="78">
        <v>0</v>
      </c>
      <c r="P91" s="78">
        <v>0</v>
      </c>
      <c r="Q91" s="78"/>
      <c r="R91" s="78"/>
      <c r="S91" s="78"/>
      <c r="T91" s="73">
        <f t="shared" ref="T91:T109" si="6">SUM(D91:S91)</f>
        <v>14550</v>
      </c>
      <c r="V91" s="43"/>
    </row>
    <row r="92" spans="1:22" x14ac:dyDescent="0.3">
      <c r="B92" s="43"/>
      <c r="C92" s="77">
        <v>1.25</v>
      </c>
      <c r="D92" s="78">
        <v>0</v>
      </c>
      <c r="E92" s="81">
        <v>9573</v>
      </c>
      <c r="F92" s="81">
        <v>32942</v>
      </c>
      <c r="G92" s="78">
        <v>21257</v>
      </c>
      <c r="H92" s="78">
        <v>15352</v>
      </c>
      <c r="I92" s="78">
        <v>10694</v>
      </c>
      <c r="J92" s="78">
        <v>6495</v>
      </c>
      <c r="K92" s="78">
        <v>3064</v>
      </c>
      <c r="L92" s="78">
        <v>1141</v>
      </c>
      <c r="M92" s="78">
        <v>569</v>
      </c>
      <c r="N92" s="78">
        <v>214</v>
      </c>
      <c r="O92" s="78">
        <v>6</v>
      </c>
      <c r="P92" s="78">
        <v>0</v>
      </c>
      <c r="Q92" s="78"/>
      <c r="R92" s="78"/>
      <c r="S92" s="78"/>
      <c r="T92" s="73">
        <f t="shared" si="6"/>
        <v>101307</v>
      </c>
      <c r="V92" s="43"/>
    </row>
    <row r="93" spans="1:22" x14ac:dyDescent="0.3">
      <c r="B93" s="43"/>
      <c r="C93" s="77">
        <v>1.75</v>
      </c>
      <c r="D93" s="78">
        <v>0</v>
      </c>
      <c r="E93" s="81">
        <v>2225</v>
      </c>
      <c r="F93" s="81">
        <v>38402</v>
      </c>
      <c r="G93" s="78">
        <v>20861</v>
      </c>
      <c r="H93" s="78">
        <v>15749</v>
      </c>
      <c r="I93" s="78">
        <v>10468</v>
      </c>
      <c r="J93" s="78">
        <v>7121</v>
      </c>
      <c r="K93" s="78">
        <v>4553</v>
      </c>
      <c r="L93" s="78">
        <v>1834</v>
      </c>
      <c r="M93" s="78">
        <v>742</v>
      </c>
      <c r="N93" s="78">
        <v>338</v>
      </c>
      <c r="O93" s="78">
        <v>74</v>
      </c>
      <c r="P93" s="78">
        <v>3</v>
      </c>
      <c r="Q93" s="78"/>
      <c r="R93" s="78"/>
      <c r="S93" s="78"/>
      <c r="T93" s="73">
        <f t="shared" si="6"/>
        <v>102370</v>
      </c>
      <c r="V93" s="43"/>
    </row>
    <row r="94" spans="1:22" x14ac:dyDescent="0.3">
      <c r="B94" s="43"/>
      <c r="C94" s="77">
        <v>2.25</v>
      </c>
      <c r="D94" s="78">
        <v>0</v>
      </c>
      <c r="E94" s="81">
        <v>4</v>
      </c>
      <c r="F94" s="81">
        <v>7923</v>
      </c>
      <c r="G94" s="78">
        <v>17493</v>
      </c>
      <c r="H94" s="78">
        <v>8077</v>
      </c>
      <c r="I94" s="78">
        <v>5134</v>
      </c>
      <c r="J94" s="78">
        <v>3635</v>
      </c>
      <c r="K94" s="78">
        <v>2372</v>
      </c>
      <c r="L94" s="78">
        <v>1482</v>
      </c>
      <c r="M94" s="78">
        <v>560</v>
      </c>
      <c r="N94" s="78">
        <v>266</v>
      </c>
      <c r="O94" s="78">
        <v>99</v>
      </c>
      <c r="P94" s="78">
        <v>28</v>
      </c>
      <c r="Q94" s="78">
        <v>2</v>
      </c>
      <c r="R94" s="78"/>
      <c r="S94" s="78"/>
      <c r="T94" s="73">
        <f t="shared" si="6"/>
        <v>47075</v>
      </c>
      <c r="V94" s="43"/>
    </row>
    <row r="95" spans="1:22" x14ac:dyDescent="0.3">
      <c r="B95" s="43"/>
      <c r="C95" s="77">
        <v>2.75</v>
      </c>
      <c r="D95" s="78">
        <v>0</v>
      </c>
      <c r="E95" s="81"/>
      <c r="F95" s="81">
        <v>228</v>
      </c>
      <c r="G95" s="78">
        <v>7218</v>
      </c>
      <c r="H95" s="78">
        <v>5067</v>
      </c>
      <c r="I95" s="78">
        <v>2419</v>
      </c>
      <c r="J95" s="78">
        <v>1822</v>
      </c>
      <c r="K95" s="78">
        <v>1294</v>
      </c>
      <c r="L95" s="78">
        <v>830</v>
      </c>
      <c r="M95" s="78">
        <v>181</v>
      </c>
      <c r="N95" s="78">
        <v>168</v>
      </c>
      <c r="O95" s="78">
        <v>63</v>
      </c>
      <c r="P95" s="78">
        <v>17</v>
      </c>
      <c r="Q95" s="78">
        <v>2</v>
      </c>
      <c r="R95" s="78"/>
      <c r="S95" s="78"/>
      <c r="T95" s="73">
        <f t="shared" si="6"/>
        <v>19309</v>
      </c>
      <c r="V95" s="43"/>
    </row>
    <row r="96" spans="1:22" x14ac:dyDescent="0.3">
      <c r="B96" s="43"/>
      <c r="C96" s="77">
        <v>3.25</v>
      </c>
      <c r="D96" s="78">
        <v>0</v>
      </c>
      <c r="E96" s="78"/>
      <c r="F96" s="78"/>
      <c r="G96" s="78">
        <v>1330</v>
      </c>
      <c r="H96" s="78">
        <v>2844</v>
      </c>
      <c r="I96" s="78">
        <v>935</v>
      </c>
      <c r="J96" s="78">
        <v>697</v>
      </c>
      <c r="K96" s="78">
        <v>463</v>
      </c>
      <c r="L96" s="78">
        <v>381</v>
      </c>
      <c r="M96" s="78">
        <v>127</v>
      </c>
      <c r="N96" s="78">
        <v>30</v>
      </c>
      <c r="O96" s="78">
        <v>45</v>
      </c>
      <c r="P96" s="78">
        <v>9</v>
      </c>
      <c r="Q96" s="78"/>
      <c r="R96" s="78"/>
      <c r="S96" s="78"/>
      <c r="T96" s="73">
        <f t="shared" si="6"/>
        <v>6861</v>
      </c>
      <c r="V96" s="43"/>
    </row>
    <row r="97" spans="2:40" x14ac:dyDescent="0.3">
      <c r="B97" s="43"/>
      <c r="C97" s="77">
        <v>3.75</v>
      </c>
      <c r="D97" s="78">
        <v>0</v>
      </c>
      <c r="E97" s="78"/>
      <c r="F97" s="78"/>
      <c r="G97" s="78">
        <v>78</v>
      </c>
      <c r="H97" s="78">
        <v>1094</v>
      </c>
      <c r="I97" s="78">
        <v>572</v>
      </c>
      <c r="J97" s="78">
        <v>151</v>
      </c>
      <c r="K97" s="78">
        <v>181</v>
      </c>
      <c r="L97" s="78">
        <v>106</v>
      </c>
      <c r="M97" s="78">
        <v>47</v>
      </c>
      <c r="N97" s="78">
        <v>81</v>
      </c>
      <c r="O97" s="78">
        <v>6</v>
      </c>
      <c r="P97" s="78">
        <v>1</v>
      </c>
      <c r="Q97" s="78"/>
      <c r="R97" s="78"/>
      <c r="S97" s="78"/>
      <c r="T97" s="73">
        <f t="shared" si="6"/>
        <v>2317</v>
      </c>
      <c r="V97" s="43"/>
    </row>
    <row r="98" spans="2:40" x14ac:dyDescent="0.3">
      <c r="B98" s="43"/>
      <c r="C98" s="77">
        <v>4.25</v>
      </c>
      <c r="D98" s="78">
        <v>0</v>
      </c>
      <c r="E98" s="78"/>
      <c r="F98" s="78"/>
      <c r="G98" s="78"/>
      <c r="H98" s="78">
        <v>351</v>
      </c>
      <c r="I98" s="78">
        <v>235</v>
      </c>
      <c r="J98" s="78">
        <v>96</v>
      </c>
      <c r="K98" s="78">
        <v>55</v>
      </c>
      <c r="L98" s="78">
        <v>78</v>
      </c>
      <c r="M98" s="78">
        <v>24</v>
      </c>
      <c r="N98" s="78"/>
      <c r="O98" s="78">
        <v>14</v>
      </c>
      <c r="P98" s="78"/>
      <c r="Q98" s="78"/>
      <c r="R98" s="78"/>
      <c r="S98" s="78"/>
      <c r="T98" s="73">
        <f t="shared" si="6"/>
        <v>853</v>
      </c>
      <c r="V98" s="43"/>
    </row>
    <row r="99" spans="2:40" x14ac:dyDescent="0.3">
      <c r="B99" s="43"/>
      <c r="C99" s="77">
        <v>4.75</v>
      </c>
      <c r="D99" s="78">
        <v>0</v>
      </c>
      <c r="E99" s="78"/>
      <c r="F99" s="78"/>
      <c r="G99" s="78"/>
      <c r="H99" s="78">
        <v>36</v>
      </c>
      <c r="I99" s="78">
        <v>133</v>
      </c>
      <c r="J99" s="78">
        <v>31</v>
      </c>
      <c r="K99" s="78">
        <v>13</v>
      </c>
      <c r="L99" s="78">
        <v>30</v>
      </c>
      <c r="M99" s="78">
        <v>10</v>
      </c>
      <c r="N99" s="78"/>
      <c r="O99" s="78"/>
      <c r="P99" s="78"/>
      <c r="Q99" s="78"/>
      <c r="R99" s="78"/>
      <c r="S99" s="78"/>
      <c r="T99" s="73">
        <f t="shared" si="6"/>
        <v>253</v>
      </c>
      <c r="V99" s="43"/>
    </row>
    <row r="100" spans="2:40" x14ac:dyDescent="0.3">
      <c r="B100" s="43"/>
      <c r="C100" s="77">
        <v>5.25</v>
      </c>
      <c r="D100" s="78">
        <v>0</v>
      </c>
      <c r="E100" s="78"/>
      <c r="F100" s="78"/>
      <c r="G100" s="78"/>
      <c r="H100" s="78"/>
      <c r="I100" s="78">
        <v>28</v>
      </c>
      <c r="J100" s="78">
        <v>16</v>
      </c>
      <c r="K100" s="78"/>
      <c r="L100" s="78"/>
      <c r="M100" s="78">
        <v>4</v>
      </c>
      <c r="N100" s="78"/>
      <c r="O100" s="78"/>
      <c r="P100" s="78"/>
      <c r="Q100" s="78"/>
      <c r="R100" s="78"/>
      <c r="S100" s="78"/>
      <c r="T100" s="73">
        <f t="shared" si="6"/>
        <v>48</v>
      </c>
      <c r="V100" s="43"/>
    </row>
    <row r="101" spans="2:40" x14ac:dyDescent="0.3">
      <c r="B101" s="43"/>
      <c r="C101" s="77">
        <v>5.75</v>
      </c>
      <c r="D101" s="78">
        <v>0</v>
      </c>
      <c r="E101" s="78"/>
      <c r="F101" s="78"/>
      <c r="G101" s="78"/>
      <c r="H101" s="78"/>
      <c r="I101" s="78">
        <v>8</v>
      </c>
      <c r="J101" s="78">
        <v>1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3">
        <f t="shared" si="6"/>
        <v>9</v>
      </c>
      <c r="V101" s="43"/>
    </row>
    <row r="102" spans="2:40" x14ac:dyDescent="0.3">
      <c r="B102" s="43"/>
      <c r="C102" s="77">
        <v>6.25</v>
      </c>
      <c r="D102" s="78">
        <v>0</v>
      </c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3">
        <f t="shared" si="6"/>
        <v>0</v>
      </c>
      <c r="V102" s="43"/>
    </row>
    <row r="103" spans="2:40" x14ac:dyDescent="0.3">
      <c r="B103" s="43"/>
      <c r="C103" s="77">
        <v>6.75</v>
      </c>
      <c r="D103" s="78">
        <v>0</v>
      </c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3">
        <f t="shared" si="6"/>
        <v>0</v>
      </c>
      <c r="V103" s="43"/>
    </row>
    <row r="104" spans="2:40" x14ac:dyDescent="0.3">
      <c r="B104" s="43"/>
      <c r="C104" s="77">
        <v>7.25</v>
      </c>
      <c r="D104" s="78">
        <v>0</v>
      </c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3">
        <f t="shared" si="6"/>
        <v>0</v>
      </c>
      <c r="V104" s="43"/>
    </row>
    <row r="105" spans="2:40" x14ac:dyDescent="0.3">
      <c r="B105" s="43"/>
      <c r="C105" s="77">
        <v>7.75</v>
      </c>
      <c r="D105" s="78">
        <v>0</v>
      </c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3">
        <f t="shared" si="6"/>
        <v>0</v>
      </c>
      <c r="V105" s="43"/>
    </row>
    <row r="106" spans="2:40" x14ac:dyDescent="0.3">
      <c r="B106" s="43"/>
      <c r="C106" s="77">
        <v>8.25</v>
      </c>
      <c r="D106" s="78">
        <v>0</v>
      </c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3">
        <f t="shared" si="6"/>
        <v>0</v>
      </c>
      <c r="V106" s="43"/>
    </row>
    <row r="107" spans="2:40" x14ac:dyDescent="0.3">
      <c r="B107" s="43"/>
      <c r="C107" s="77">
        <v>8.75</v>
      </c>
      <c r="D107" s="78">
        <v>0</v>
      </c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3">
        <f t="shared" si="6"/>
        <v>0</v>
      </c>
      <c r="V107" s="43"/>
    </row>
    <row r="108" spans="2:40" x14ac:dyDescent="0.3">
      <c r="B108" s="43"/>
      <c r="C108" s="77">
        <v>9.25</v>
      </c>
      <c r="D108" s="78">
        <v>0</v>
      </c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3">
        <f t="shared" si="6"/>
        <v>0</v>
      </c>
      <c r="V108" s="43"/>
    </row>
    <row r="109" spans="2:40" x14ac:dyDescent="0.3">
      <c r="B109" s="43"/>
      <c r="C109" s="77">
        <v>9.75</v>
      </c>
      <c r="D109" s="78">
        <v>0</v>
      </c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3">
        <f t="shared" si="6"/>
        <v>0</v>
      </c>
      <c r="V109" s="43"/>
    </row>
    <row r="110" spans="2:40" x14ac:dyDescent="0.3">
      <c r="B110" s="43"/>
      <c r="C110" s="77"/>
      <c r="D110" s="80">
        <f>SUM(D90:D109)</f>
        <v>63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73">
        <f>SUM(D90:S109)</f>
        <v>294959</v>
      </c>
      <c r="V110" s="43"/>
      <c r="W110" s="77"/>
      <c r="X110" s="80" t="e">
        <f>SUM(#REF!)</f>
        <v>#REF!</v>
      </c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73" t="e">
        <f>SUM(#REF!)</f>
        <v>#REF!</v>
      </c>
    </row>
    <row r="113" spans="1:20" x14ac:dyDescent="0.3">
      <c r="A113" s="7">
        <v>4</v>
      </c>
      <c r="B113" s="7" t="s">
        <v>270</v>
      </c>
    </row>
    <row r="114" spans="1:20" x14ac:dyDescent="0.3">
      <c r="E114">
        <v>5</v>
      </c>
      <c r="F114">
        <v>6</v>
      </c>
      <c r="G114">
        <v>7</v>
      </c>
      <c r="H114">
        <v>8</v>
      </c>
      <c r="I114">
        <v>9</v>
      </c>
      <c r="J114">
        <v>10</v>
      </c>
      <c r="K114">
        <v>11</v>
      </c>
      <c r="L114">
        <v>12</v>
      </c>
      <c r="M114">
        <v>13</v>
      </c>
      <c r="N114">
        <v>14</v>
      </c>
      <c r="O114">
        <v>15</v>
      </c>
      <c r="P114">
        <v>16</v>
      </c>
      <c r="Q114">
        <v>17</v>
      </c>
      <c r="R114">
        <v>18</v>
      </c>
      <c r="S114">
        <v>19</v>
      </c>
    </row>
    <row r="115" spans="1:20" x14ac:dyDescent="0.3">
      <c r="B115" s="43"/>
      <c r="C115" s="43"/>
      <c r="D115" s="43" t="s">
        <v>117</v>
      </c>
      <c r="E115" s="43">
        <v>6</v>
      </c>
      <c r="F115" s="43">
        <v>7</v>
      </c>
      <c r="G115" s="43">
        <v>8</v>
      </c>
      <c r="H115" s="43">
        <v>9</v>
      </c>
      <c r="I115" s="43">
        <v>10</v>
      </c>
      <c r="J115" s="43">
        <v>11</v>
      </c>
      <c r="K115" s="43">
        <v>12</v>
      </c>
      <c r="L115" s="43">
        <v>13</v>
      </c>
      <c r="M115" s="43">
        <v>14</v>
      </c>
      <c r="N115" s="43">
        <v>15</v>
      </c>
      <c r="O115" s="43">
        <v>16</v>
      </c>
      <c r="P115" s="43">
        <v>17</v>
      </c>
      <c r="Q115" s="43">
        <v>18</v>
      </c>
      <c r="R115" s="43">
        <v>19</v>
      </c>
      <c r="S115" s="43">
        <v>20</v>
      </c>
      <c r="T115" s="43"/>
    </row>
    <row r="116" spans="1:20" x14ac:dyDescent="0.3">
      <c r="B116" s="43"/>
      <c r="C116" s="75"/>
      <c r="D116" s="76">
        <v>4.5</v>
      </c>
      <c r="E116" s="76">
        <v>5.5</v>
      </c>
      <c r="F116" s="76">
        <v>6.5</v>
      </c>
      <c r="G116" s="76">
        <v>7.5</v>
      </c>
      <c r="H116" s="76">
        <v>8.5</v>
      </c>
      <c r="I116" s="76">
        <v>9.5</v>
      </c>
      <c r="J116" s="76">
        <v>10.5</v>
      </c>
      <c r="K116" s="76">
        <v>11.5</v>
      </c>
      <c r="L116" s="76">
        <v>12.5</v>
      </c>
      <c r="M116" s="76">
        <v>13.5</v>
      </c>
      <c r="N116" s="76">
        <v>14.5</v>
      </c>
      <c r="O116" s="76">
        <v>15.5</v>
      </c>
      <c r="P116" s="76">
        <v>16.5</v>
      </c>
      <c r="Q116" s="76">
        <v>17.5</v>
      </c>
      <c r="R116" s="76">
        <v>18.5</v>
      </c>
      <c r="S116" s="76">
        <v>19.5</v>
      </c>
      <c r="T116" s="43"/>
    </row>
    <row r="117" spans="1:20" x14ac:dyDescent="0.3">
      <c r="B117" s="43" t="s">
        <v>118</v>
      </c>
      <c r="C117" s="77">
        <v>0.25</v>
      </c>
      <c r="D117" s="181">
        <f>0.13+0.56+0.23+0.27</f>
        <v>1.19</v>
      </c>
      <c r="E117" s="181">
        <v>0.57999999999999996</v>
      </c>
      <c r="F117" s="181">
        <v>1.4</v>
      </c>
      <c r="G117" s="181">
        <v>1.18</v>
      </c>
      <c r="H117" s="181">
        <v>0.47</v>
      </c>
      <c r="I117" s="181">
        <v>0.12</v>
      </c>
      <c r="J117" s="181">
        <v>0.04</v>
      </c>
      <c r="K117" s="181">
        <v>0.03</v>
      </c>
      <c r="L117" s="181">
        <v>0</v>
      </c>
      <c r="M117" s="181">
        <v>0</v>
      </c>
      <c r="N117" s="181">
        <v>0</v>
      </c>
      <c r="O117" s="78">
        <v>0</v>
      </c>
      <c r="P117" s="78">
        <v>0</v>
      </c>
      <c r="Q117" s="78">
        <v>0</v>
      </c>
      <c r="R117" s="78">
        <v>0</v>
      </c>
      <c r="S117" s="78">
        <v>0</v>
      </c>
      <c r="T117" s="73">
        <f>SUM(D117:S117)</f>
        <v>5.01</v>
      </c>
    </row>
    <row r="118" spans="1:20" x14ac:dyDescent="0.3">
      <c r="B118" s="43"/>
      <c r="C118" s="77">
        <v>0.75</v>
      </c>
      <c r="D118" s="181">
        <f>0.1+1.42+2.72+1.79</f>
        <v>6.03</v>
      </c>
      <c r="E118" s="181">
        <v>3.14</v>
      </c>
      <c r="F118" s="181">
        <v>5.21</v>
      </c>
      <c r="G118" s="181">
        <v>5.4</v>
      </c>
      <c r="H118" s="181">
        <v>3.9</v>
      </c>
      <c r="I118" s="181">
        <v>1.74</v>
      </c>
      <c r="J118" s="181">
        <v>0.57999999999999996</v>
      </c>
      <c r="K118" s="181">
        <v>0.42</v>
      </c>
      <c r="L118" s="181">
        <v>0.18</v>
      </c>
      <c r="M118" s="181">
        <v>0.04</v>
      </c>
      <c r="N118" s="181">
        <v>0</v>
      </c>
      <c r="O118" s="78">
        <v>0</v>
      </c>
      <c r="P118" s="78">
        <v>0</v>
      </c>
      <c r="Q118" s="78">
        <v>0</v>
      </c>
      <c r="R118" s="78">
        <v>0</v>
      </c>
      <c r="S118" s="78">
        <v>0</v>
      </c>
      <c r="T118" s="73">
        <f t="shared" ref="T118:T136" si="7">SUM(D118:S118)</f>
        <v>26.639999999999997</v>
      </c>
    </row>
    <row r="119" spans="1:20" x14ac:dyDescent="0.3">
      <c r="B119" s="43"/>
      <c r="C119" s="77">
        <v>1.25</v>
      </c>
      <c r="D119" s="181">
        <f>0.25+1.55+2.69</f>
        <v>4.49</v>
      </c>
      <c r="E119" s="181">
        <v>1.86</v>
      </c>
      <c r="F119" s="181">
        <v>4.12</v>
      </c>
      <c r="G119" s="181">
        <v>5.66</v>
      </c>
      <c r="H119" s="181">
        <v>5.91</v>
      </c>
      <c r="I119" s="181">
        <v>3.92</v>
      </c>
      <c r="J119" s="181">
        <v>1.41</v>
      </c>
      <c r="K119" s="181">
        <v>0.56999999999999995</v>
      </c>
      <c r="L119" s="181">
        <v>0.25</v>
      </c>
      <c r="M119" s="181">
        <v>0.12</v>
      </c>
      <c r="N119" s="181">
        <v>7.0000000000000007E-2</v>
      </c>
      <c r="O119" s="78">
        <v>0</v>
      </c>
      <c r="P119" s="78">
        <v>0</v>
      </c>
      <c r="Q119" s="78">
        <v>0</v>
      </c>
      <c r="R119" s="78">
        <v>0</v>
      </c>
      <c r="S119" s="78">
        <v>0</v>
      </c>
      <c r="T119" s="73">
        <f t="shared" si="7"/>
        <v>28.380000000000003</v>
      </c>
    </row>
    <row r="120" spans="1:20" x14ac:dyDescent="0.3">
      <c r="B120" s="43"/>
      <c r="C120" s="77">
        <v>1.75</v>
      </c>
      <c r="D120" s="181">
        <f>0.32+1.07</f>
        <v>1.3900000000000001</v>
      </c>
      <c r="E120" s="181">
        <v>1.61</v>
      </c>
      <c r="F120" s="181">
        <v>1.66</v>
      </c>
      <c r="G120" s="181">
        <v>2.27</v>
      </c>
      <c r="H120" s="181">
        <v>3.47</v>
      </c>
      <c r="I120" s="181">
        <v>3.45</v>
      </c>
      <c r="J120" s="181">
        <v>2.04</v>
      </c>
      <c r="K120" s="181">
        <v>0.97</v>
      </c>
      <c r="L120" s="181">
        <v>0.33</v>
      </c>
      <c r="M120" s="181">
        <v>0.09</v>
      </c>
      <c r="N120" s="181">
        <v>0.04</v>
      </c>
      <c r="O120" s="78">
        <v>0</v>
      </c>
      <c r="P120" s="78">
        <v>0</v>
      </c>
      <c r="Q120" s="78">
        <v>0</v>
      </c>
      <c r="R120" s="78">
        <v>0</v>
      </c>
      <c r="S120" s="78">
        <v>0</v>
      </c>
      <c r="T120" s="73">
        <f t="shared" si="7"/>
        <v>17.319999999999997</v>
      </c>
    </row>
    <row r="121" spans="1:20" x14ac:dyDescent="0.3">
      <c r="B121" s="43"/>
      <c r="C121" s="77">
        <v>2.25</v>
      </c>
      <c r="D121" s="181">
        <f>0.02+0.33</f>
        <v>0.35000000000000003</v>
      </c>
      <c r="E121" s="181">
        <v>0.78</v>
      </c>
      <c r="F121" s="181">
        <v>0.83</v>
      </c>
      <c r="G121" s="181">
        <v>0.92</v>
      </c>
      <c r="H121" s="181">
        <v>1.8</v>
      </c>
      <c r="I121" s="181">
        <v>2.0699999999999998</v>
      </c>
      <c r="J121" s="181">
        <v>1.64</v>
      </c>
      <c r="K121" s="181">
        <v>1</v>
      </c>
      <c r="L121" s="181">
        <v>0.5</v>
      </c>
      <c r="M121" s="181">
        <v>0.16</v>
      </c>
      <c r="N121" s="181">
        <v>0.04</v>
      </c>
      <c r="O121" s="78">
        <v>0</v>
      </c>
      <c r="P121" s="78">
        <v>0</v>
      </c>
      <c r="Q121" s="78">
        <v>0</v>
      </c>
      <c r="R121" s="78">
        <v>0</v>
      </c>
      <c r="S121" s="78">
        <v>0</v>
      </c>
      <c r="T121" s="73">
        <f t="shared" si="7"/>
        <v>10.09</v>
      </c>
    </row>
    <row r="122" spans="1:20" x14ac:dyDescent="0.3">
      <c r="B122" s="43"/>
      <c r="C122" s="77">
        <v>2.75</v>
      </c>
      <c r="D122" s="181">
        <v>0.06</v>
      </c>
      <c r="E122" s="181">
        <v>0.4</v>
      </c>
      <c r="F122" s="181">
        <v>0.59</v>
      </c>
      <c r="G122" s="181">
        <v>0.45</v>
      </c>
      <c r="H122" s="181">
        <v>0.91</v>
      </c>
      <c r="I122" s="181">
        <v>1.1100000000000001</v>
      </c>
      <c r="J122" s="181">
        <v>0.84</v>
      </c>
      <c r="K122" s="181">
        <v>0.56000000000000005</v>
      </c>
      <c r="L122" s="181">
        <v>0.34</v>
      </c>
      <c r="M122" s="181">
        <v>0.12</v>
      </c>
      <c r="N122" s="181">
        <v>0.04</v>
      </c>
      <c r="O122" s="78">
        <v>0</v>
      </c>
      <c r="P122" s="78">
        <v>0</v>
      </c>
      <c r="Q122" s="78">
        <v>0</v>
      </c>
      <c r="R122" s="78">
        <v>0</v>
      </c>
      <c r="S122" s="78">
        <v>0</v>
      </c>
      <c r="T122" s="73">
        <f t="shared" si="7"/>
        <v>5.42</v>
      </c>
    </row>
    <row r="123" spans="1:20" x14ac:dyDescent="0.3">
      <c r="B123" s="43"/>
      <c r="C123" s="77">
        <v>3.25</v>
      </c>
      <c r="D123" s="78">
        <v>0</v>
      </c>
      <c r="E123" s="181">
        <v>0.17</v>
      </c>
      <c r="F123" s="181">
        <v>0.42</v>
      </c>
      <c r="G123" s="181">
        <v>0.37</v>
      </c>
      <c r="H123" s="181">
        <v>0.5</v>
      </c>
      <c r="I123" s="181">
        <v>0.52</v>
      </c>
      <c r="J123" s="181">
        <v>0.59</v>
      </c>
      <c r="K123" s="181">
        <v>0.44</v>
      </c>
      <c r="L123" s="181">
        <v>0.25</v>
      </c>
      <c r="M123" s="181">
        <v>0.1</v>
      </c>
      <c r="N123" s="181">
        <v>0.03</v>
      </c>
      <c r="O123" s="78">
        <v>0</v>
      </c>
      <c r="P123" s="78">
        <v>0</v>
      </c>
      <c r="Q123" s="78">
        <v>0</v>
      </c>
      <c r="R123" s="78">
        <v>0</v>
      </c>
      <c r="S123" s="78">
        <v>0</v>
      </c>
      <c r="T123" s="73">
        <f t="shared" si="7"/>
        <v>3.3899999999999997</v>
      </c>
    </row>
    <row r="124" spans="1:20" x14ac:dyDescent="0.3">
      <c r="B124" s="43"/>
      <c r="C124" s="77">
        <v>3.75</v>
      </c>
      <c r="D124" s="78">
        <v>0</v>
      </c>
      <c r="E124" s="181">
        <v>7.0000000000000007E-2</v>
      </c>
      <c r="F124" s="181">
        <v>0.24</v>
      </c>
      <c r="G124" s="181">
        <v>0.19</v>
      </c>
      <c r="H124" s="181">
        <v>0.21</v>
      </c>
      <c r="I124" s="181">
        <v>0.21</v>
      </c>
      <c r="J124" s="181">
        <v>0.2</v>
      </c>
      <c r="K124" s="181">
        <v>0.24</v>
      </c>
      <c r="L124" s="181">
        <v>0.25</v>
      </c>
      <c r="M124" s="181">
        <v>0.15</v>
      </c>
      <c r="N124" s="181">
        <v>0.03</v>
      </c>
      <c r="O124" s="78">
        <v>0</v>
      </c>
      <c r="P124" s="78">
        <v>0</v>
      </c>
      <c r="Q124" s="78">
        <v>0</v>
      </c>
      <c r="R124" s="78">
        <v>0</v>
      </c>
      <c r="S124" s="78">
        <v>0</v>
      </c>
      <c r="T124" s="73">
        <f t="shared" si="7"/>
        <v>1.7899999999999998</v>
      </c>
    </row>
    <row r="125" spans="1:20" x14ac:dyDescent="0.3">
      <c r="B125" s="43"/>
      <c r="C125" s="77">
        <v>4.25</v>
      </c>
      <c r="D125" s="78">
        <v>0</v>
      </c>
      <c r="E125" s="78">
        <v>0</v>
      </c>
      <c r="F125" s="181">
        <v>0.05</v>
      </c>
      <c r="G125" s="181">
        <v>0.12</v>
      </c>
      <c r="H125" s="181">
        <v>0.09</v>
      </c>
      <c r="I125" s="181">
        <v>0.09</v>
      </c>
      <c r="J125" s="181">
        <v>0.08</v>
      </c>
      <c r="K125" s="181">
        <v>0.15</v>
      </c>
      <c r="L125" s="181">
        <v>0.09</v>
      </c>
      <c r="M125" s="181">
        <v>0.08</v>
      </c>
      <c r="N125" s="181">
        <v>0.03</v>
      </c>
      <c r="O125" s="78">
        <v>0</v>
      </c>
      <c r="P125" s="78">
        <v>0</v>
      </c>
      <c r="Q125" s="78">
        <v>0</v>
      </c>
      <c r="R125" s="78">
        <v>0</v>
      </c>
      <c r="S125" s="78">
        <v>0</v>
      </c>
      <c r="T125" s="73">
        <f t="shared" si="7"/>
        <v>0.77999999999999992</v>
      </c>
    </row>
    <row r="126" spans="1:20" x14ac:dyDescent="0.3">
      <c r="B126" s="43"/>
      <c r="C126" s="77">
        <v>4.75</v>
      </c>
      <c r="D126" s="78">
        <v>0</v>
      </c>
      <c r="E126" s="78">
        <v>0</v>
      </c>
      <c r="F126" s="181">
        <v>0.02</v>
      </c>
      <c r="G126" s="181">
        <v>0.05</v>
      </c>
      <c r="H126" s="181">
        <v>0.04</v>
      </c>
      <c r="I126" s="181">
        <v>7.0000000000000007E-2</v>
      </c>
      <c r="J126" s="181">
        <v>7.0000000000000007E-2</v>
      </c>
      <c r="K126" s="181">
        <v>7.0000000000000007E-2</v>
      </c>
      <c r="L126" s="181">
        <v>0.08</v>
      </c>
      <c r="M126" s="181">
        <v>0.03</v>
      </c>
      <c r="N126" s="181">
        <v>0.02</v>
      </c>
      <c r="O126" s="78">
        <v>0</v>
      </c>
      <c r="P126" s="78">
        <v>0</v>
      </c>
      <c r="Q126" s="78">
        <v>0</v>
      </c>
      <c r="R126" s="78">
        <v>0</v>
      </c>
      <c r="S126" s="78">
        <v>0</v>
      </c>
      <c r="T126" s="73">
        <f t="shared" si="7"/>
        <v>0.45000000000000007</v>
      </c>
    </row>
    <row r="127" spans="1:20" x14ac:dyDescent="0.3">
      <c r="B127" s="43"/>
      <c r="C127" s="77">
        <v>5.25</v>
      </c>
      <c r="D127" s="78">
        <v>0</v>
      </c>
      <c r="E127" s="78">
        <v>0</v>
      </c>
      <c r="F127" s="78">
        <v>0</v>
      </c>
      <c r="G127" s="78">
        <v>0</v>
      </c>
      <c r="H127" s="181">
        <v>0.03</v>
      </c>
      <c r="I127" s="181">
        <v>7.0000000000000007E-2</v>
      </c>
      <c r="J127" s="181">
        <v>0.04</v>
      </c>
      <c r="K127" s="181">
        <v>0.04</v>
      </c>
      <c r="L127" s="181">
        <v>0.03</v>
      </c>
      <c r="M127" s="181">
        <v>0.04</v>
      </c>
      <c r="N127" s="78">
        <v>0</v>
      </c>
      <c r="O127" s="78">
        <v>0</v>
      </c>
      <c r="P127" s="78">
        <v>0</v>
      </c>
      <c r="Q127" s="78">
        <v>0</v>
      </c>
      <c r="R127" s="78">
        <v>0</v>
      </c>
      <c r="S127" s="78">
        <v>0</v>
      </c>
      <c r="T127" s="73">
        <f t="shared" si="7"/>
        <v>0.25</v>
      </c>
    </row>
    <row r="128" spans="1:20" x14ac:dyDescent="0.3">
      <c r="B128" s="43"/>
      <c r="C128" s="77">
        <v>5.75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181">
        <v>0.03</v>
      </c>
      <c r="J128" s="181">
        <v>0.04</v>
      </c>
      <c r="K128" s="181">
        <v>0.03</v>
      </c>
      <c r="L128" s="181">
        <v>0.04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8">
        <v>0</v>
      </c>
      <c r="S128" s="78">
        <v>0</v>
      </c>
      <c r="T128" s="73">
        <f t="shared" si="7"/>
        <v>0.14000000000000001</v>
      </c>
    </row>
    <row r="129" spans="1:20" x14ac:dyDescent="0.3">
      <c r="B129" s="43"/>
      <c r="C129" s="77">
        <v>6.25</v>
      </c>
      <c r="D129" s="78">
        <v>0</v>
      </c>
      <c r="E129" s="78">
        <v>0</v>
      </c>
      <c r="F129" s="78">
        <v>0</v>
      </c>
      <c r="G129" s="78">
        <v>0</v>
      </c>
      <c r="H129" s="78">
        <v>0</v>
      </c>
      <c r="I129" s="78">
        <v>0</v>
      </c>
      <c r="J129" s="78">
        <v>0</v>
      </c>
      <c r="K129" s="181">
        <v>0.03</v>
      </c>
      <c r="L129" s="181">
        <v>0.02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8">
        <v>0</v>
      </c>
      <c r="S129" s="78">
        <v>0</v>
      </c>
      <c r="T129" s="73">
        <f t="shared" si="7"/>
        <v>0.05</v>
      </c>
    </row>
    <row r="130" spans="1:20" x14ac:dyDescent="0.3">
      <c r="B130" s="43"/>
      <c r="C130" s="77">
        <v>6.75</v>
      </c>
      <c r="D130" s="78">
        <v>0</v>
      </c>
      <c r="E130" s="78">
        <v>0</v>
      </c>
      <c r="F130" s="78">
        <v>0</v>
      </c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181">
        <v>0.02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8">
        <v>0</v>
      </c>
      <c r="S130" s="78">
        <v>0</v>
      </c>
      <c r="T130" s="73">
        <f t="shared" si="7"/>
        <v>0.02</v>
      </c>
    </row>
    <row r="131" spans="1:20" x14ac:dyDescent="0.3">
      <c r="B131" s="43"/>
      <c r="C131" s="77">
        <v>7.25</v>
      </c>
      <c r="D131" s="78">
        <v>0</v>
      </c>
      <c r="E131" s="78">
        <v>0</v>
      </c>
      <c r="F131" s="78">
        <v>0</v>
      </c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78">
        <v>0</v>
      </c>
      <c r="R131" s="78">
        <v>0</v>
      </c>
      <c r="S131" s="78">
        <v>0</v>
      </c>
      <c r="T131" s="73">
        <f t="shared" si="7"/>
        <v>0</v>
      </c>
    </row>
    <row r="132" spans="1:20" x14ac:dyDescent="0.3">
      <c r="B132" s="43"/>
      <c r="C132" s="77">
        <v>7.75</v>
      </c>
      <c r="D132" s="78">
        <v>0</v>
      </c>
      <c r="E132" s="78">
        <v>0</v>
      </c>
      <c r="F132" s="78">
        <v>0</v>
      </c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8">
        <v>0</v>
      </c>
      <c r="S132" s="78">
        <v>0</v>
      </c>
      <c r="T132" s="73">
        <f t="shared" si="7"/>
        <v>0</v>
      </c>
    </row>
    <row r="133" spans="1:20" x14ac:dyDescent="0.3">
      <c r="B133" s="43"/>
      <c r="C133" s="77">
        <v>8.25</v>
      </c>
      <c r="D133" s="78">
        <v>0</v>
      </c>
      <c r="E133" s="78">
        <v>0</v>
      </c>
      <c r="F133" s="78">
        <v>0</v>
      </c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8">
        <v>0</v>
      </c>
      <c r="S133" s="78">
        <v>0</v>
      </c>
      <c r="T133" s="73">
        <f t="shared" si="7"/>
        <v>0</v>
      </c>
    </row>
    <row r="134" spans="1:20" x14ac:dyDescent="0.3">
      <c r="B134" s="43"/>
      <c r="C134" s="77">
        <v>8.75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78">
        <v>0</v>
      </c>
      <c r="R134" s="78">
        <v>0</v>
      </c>
      <c r="S134" s="78">
        <v>0</v>
      </c>
      <c r="T134" s="73">
        <f t="shared" si="7"/>
        <v>0</v>
      </c>
    </row>
    <row r="135" spans="1:20" x14ac:dyDescent="0.3">
      <c r="B135" s="43"/>
      <c r="C135" s="77">
        <v>9.25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8">
        <v>0</v>
      </c>
      <c r="S135" s="78">
        <v>0</v>
      </c>
      <c r="T135" s="73">
        <f t="shared" si="7"/>
        <v>0</v>
      </c>
    </row>
    <row r="136" spans="1:20" x14ac:dyDescent="0.3">
      <c r="B136" s="43"/>
      <c r="C136" s="77">
        <v>9.75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8">
        <v>0</v>
      </c>
      <c r="S136" s="78">
        <v>0</v>
      </c>
      <c r="T136" s="73">
        <f t="shared" si="7"/>
        <v>0</v>
      </c>
    </row>
    <row r="137" spans="1:20" x14ac:dyDescent="0.3">
      <c r="B137" s="43"/>
      <c r="C137" s="77"/>
      <c r="D137" s="80">
        <f>SUM(D117:D136)</f>
        <v>13.510000000000002</v>
      </c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73">
        <f>SUM(D117:S136)</f>
        <v>99.73</v>
      </c>
    </row>
    <row r="140" spans="1:20" x14ac:dyDescent="0.3">
      <c r="A140" s="7">
        <v>5</v>
      </c>
      <c r="B140" s="7" t="s">
        <v>271</v>
      </c>
    </row>
    <row r="141" spans="1:20" x14ac:dyDescent="0.3">
      <c r="E141">
        <v>5</v>
      </c>
      <c r="F141">
        <v>6</v>
      </c>
      <c r="G141">
        <v>7</v>
      </c>
      <c r="H141">
        <v>8</v>
      </c>
      <c r="I141">
        <v>9</v>
      </c>
      <c r="J141">
        <v>10</v>
      </c>
      <c r="K141">
        <v>11</v>
      </c>
      <c r="L141">
        <v>12</v>
      </c>
      <c r="M141">
        <v>13</v>
      </c>
      <c r="N141">
        <v>14</v>
      </c>
      <c r="O141">
        <v>15</v>
      </c>
      <c r="P141">
        <v>16</v>
      </c>
      <c r="Q141">
        <v>17</v>
      </c>
      <c r="R141">
        <v>18</v>
      </c>
      <c r="S141">
        <v>19</v>
      </c>
    </row>
    <row r="142" spans="1:20" x14ac:dyDescent="0.3">
      <c r="B142" s="43"/>
      <c r="C142" s="43"/>
      <c r="D142" s="43" t="s">
        <v>117</v>
      </c>
      <c r="E142" s="43">
        <v>6</v>
      </c>
      <c r="F142" s="43">
        <v>7</v>
      </c>
      <c r="G142" s="43">
        <v>8</v>
      </c>
      <c r="H142" s="43">
        <v>9</v>
      </c>
      <c r="I142" s="43">
        <v>10</v>
      </c>
      <c r="J142" s="43">
        <v>11</v>
      </c>
      <c r="K142" s="43">
        <v>12</v>
      </c>
      <c r="L142" s="43">
        <v>13</v>
      </c>
      <c r="M142" s="43">
        <v>14</v>
      </c>
      <c r="N142" s="43">
        <v>15</v>
      </c>
      <c r="O142" s="43">
        <v>16</v>
      </c>
      <c r="P142" s="43">
        <v>17</v>
      </c>
      <c r="Q142" s="43">
        <v>18</v>
      </c>
      <c r="R142" s="43">
        <v>19</v>
      </c>
      <c r="S142" s="43">
        <v>20</v>
      </c>
      <c r="T142" s="43"/>
    </row>
    <row r="143" spans="1:20" x14ac:dyDescent="0.3">
      <c r="B143" s="43"/>
      <c r="C143" s="75"/>
      <c r="D143" s="76">
        <v>4.5</v>
      </c>
      <c r="E143" s="76">
        <v>5.5</v>
      </c>
      <c r="F143" s="76">
        <v>6.5</v>
      </c>
      <c r="G143" s="76">
        <v>7.5</v>
      </c>
      <c r="H143" s="76">
        <v>8.5</v>
      </c>
      <c r="I143" s="76">
        <v>9.5</v>
      </c>
      <c r="J143" s="76">
        <v>10.5</v>
      </c>
      <c r="K143" s="76">
        <v>11.5</v>
      </c>
      <c r="L143" s="76">
        <v>12.5</v>
      </c>
      <c r="M143" s="76">
        <v>13.5</v>
      </c>
      <c r="N143" s="76">
        <v>14.5</v>
      </c>
      <c r="O143" s="76">
        <v>15.5</v>
      </c>
      <c r="P143" s="76">
        <v>16.5</v>
      </c>
      <c r="Q143" s="76">
        <v>17.5</v>
      </c>
      <c r="R143" s="76">
        <v>18.5</v>
      </c>
      <c r="S143" s="76">
        <v>19.5</v>
      </c>
      <c r="T143" s="43"/>
    </row>
    <row r="144" spans="1:20" x14ac:dyDescent="0.3">
      <c r="B144" s="43" t="s">
        <v>118</v>
      </c>
      <c r="C144" s="77">
        <v>0.25</v>
      </c>
      <c r="D144" s="181">
        <v>0.7</v>
      </c>
      <c r="E144" s="181">
        <v>1.8</v>
      </c>
      <c r="F144" s="181">
        <v>2.5</v>
      </c>
      <c r="G144" s="181">
        <v>1.9</v>
      </c>
      <c r="H144" s="181">
        <v>0.9</v>
      </c>
      <c r="I144" s="181">
        <v>0.2</v>
      </c>
      <c r="J144" s="181">
        <v>0.1</v>
      </c>
      <c r="K144" s="181">
        <v>0.01</v>
      </c>
      <c r="L144" s="181">
        <v>4.0000000000000001E-3</v>
      </c>
      <c r="M144" s="181">
        <v>3.0000000000000001E-3</v>
      </c>
      <c r="N144" s="181">
        <v>0</v>
      </c>
      <c r="O144" s="78">
        <v>0</v>
      </c>
      <c r="P144" s="78">
        <v>0</v>
      </c>
      <c r="Q144" s="78">
        <v>0</v>
      </c>
      <c r="R144" s="78">
        <v>0</v>
      </c>
      <c r="S144" s="78">
        <v>0</v>
      </c>
      <c r="T144" s="73">
        <f>SUM(D144:S144)</f>
        <v>8.1169999999999991</v>
      </c>
    </row>
    <row r="145" spans="2:20" x14ac:dyDescent="0.3">
      <c r="B145" s="43"/>
      <c r="C145" s="77">
        <v>0.75</v>
      </c>
      <c r="D145" s="181">
        <v>1.6</v>
      </c>
      <c r="E145" s="181">
        <v>4.5</v>
      </c>
      <c r="F145" s="181">
        <v>6</v>
      </c>
      <c r="G145" s="181">
        <v>5.2</v>
      </c>
      <c r="H145" s="181">
        <v>3.5</v>
      </c>
      <c r="I145" s="181">
        <v>1.7</v>
      </c>
      <c r="J145" s="181">
        <v>0.7</v>
      </c>
      <c r="K145" s="181">
        <v>0.2</v>
      </c>
      <c r="L145" s="181">
        <v>0.04</v>
      </c>
      <c r="M145" s="181">
        <v>0.01</v>
      </c>
      <c r="N145" s="181">
        <v>3.0000000000000001E-3</v>
      </c>
      <c r="O145" s="78">
        <v>0</v>
      </c>
      <c r="P145" s="78">
        <v>0</v>
      </c>
      <c r="Q145" s="78">
        <v>0</v>
      </c>
      <c r="R145" s="78">
        <v>0</v>
      </c>
      <c r="S145" s="78">
        <v>0</v>
      </c>
      <c r="T145" s="73">
        <f t="shared" ref="T145:T163" si="8">SUM(D145:S145)</f>
        <v>23.452999999999999</v>
      </c>
    </row>
    <row r="146" spans="2:20" x14ac:dyDescent="0.3">
      <c r="B146" s="43"/>
      <c r="C146" s="77">
        <v>1.25</v>
      </c>
      <c r="D146" s="181">
        <v>0.70499999999999996</v>
      </c>
      <c r="E146" s="181">
        <v>3.3</v>
      </c>
      <c r="F146" s="181">
        <v>5.0999999999999996</v>
      </c>
      <c r="G146" s="181">
        <v>5</v>
      </c>
      <c r="H146" s="181">
        <v>3.6</v>
      </c>
      <c r="I146" s="181">
        <v>2</v>
      </c>
      <c r="J146" s="181">
        <v>0.9</v>
      </c>
      <c r="K146" s="181">
        <v>0.2</v>
      </c>
      <c r="L146" s="181">
        <v>0.06</v>
      </c>
      <c r="M146" s="181">
        <v>0.02</v>
      </c>
      <c r="N146" s="181">
        <v>5.0000000000000001E-3</v>
      </c>
      <c r="O146" s="78">
        <v>0</v>
      </c>
      <c r="P146" s="78">
        <v>0</v>
      </c>
      <c r="Q146" s="78">
        <v>0</v>
      </c>
      <c r="R146" s="78">
        <v>0</v>
      </c>
      <c r="S146" s="78">
        <v>0</v>
      </c>
      <c r="T146" s="73">
        <f t="shared" si="8"/>
        <v>20.889999999999997</v>
      </c>
    </row>
    <row r="147" spans="2:20" x14ac:dyDescent="0.3">
      <c r="B147" s="43"/>
      <c r="C147" s="77">
        <v>1.75</v>
      </c>
      <c r="D147" s="181">
        <v>0.2</v>
      </c>
      <c r="E147" s="181">
        <v>2.2000000000000002</v>
      </c>
      <c r="F147" s="181">
        <v>4.2</v>
      </c>
      <c r="G147" s="181">
        <v>4.4000000000000004</v>
      </c>
      <c r="H147" s="181">
        <v>3.1</v>
      </c>
      <c r="I147" s="181">
        <v>1.8</v>
      </c>
      <c r="J147" s="181">
        <v>0.7</v>
      </c>
      <c r="K147" s="181">
        <v>0.2</v>
      </c>
      <c r="L147" s="181">
        <v>0.06</v>
      </c>
      <c r="M147" s="181">
        <v>0.05</v>
      </c>
      <c r="N147" s="181">
        <v>0.03</v>
      </c>
      <c r="O147" s="78">
        <v>0</v>
      </c>
      <c r="P147" s="78">
        <v>0</v>
      </c>
      <c r="Q147" s="78">
        <v>0</v>
      </c>
      <c r="R147" s="78">
        <v>0</v>
      </c>
      <c r="S147" s="78">
        <v>0</v>
      </c>
      <c r="T147" s="73">
        <f t="shared" si="8"/>
        <v>16.940000000000001</v>
      </c>
    </row>
    <row r="148" spans="2:20" x14ac:dyDescent="0.3">
      <c r="B148" s="43"/>
      <c r="C148" s="77">
        <v>2.25</v>
      </c>
      <c r="D148" s="181">
        <v>1E-3</v>
      </c>
      <c r="E148" s="181">
        <v>0.8</v>
      </c>
      <c r="F148" s="181">
        <v>2.9</v>
      </c>
      <c r="G148" s="181">
        <v>3.5</v>
      </c>
      <c r="H148" s="181">
        <v>2.5</v>
      </c>
      <c r="I148" s="181">
        <v>1.4</v>
      </c>
      <c r="J148" s="181">
        <v>0.5</v>
      </c>
      <c r="K148" s="181">
        <v>0.1</v>
      </c>
      <c r="L148" s="181">
        <v>0.02</v>
      </c>
      <c r="M148" s="181">
        <v>0.02</v>
      </c>
      <c r="N148" s="181">
        <v>0.01</v>
      </c>
      <c r="O148" s="78">
        <v>0</v>
      </c>
      <c r="P148" s="78">
        <v>0</v>
      </c>
      <c r="Q148" s="78">
        <v>0</v>
      </c>
      <c r="R148" s="78">
        <v>0</v>
      </c>
      <c r="S148" s="78">
        <v>0</v>
      </c>
      <c r="T148" s="73">
        <f t="shared" si="8"/>
        <v>11.750999999999999</v>
      </c>
    </row>
    <row r="149" spans="2:20" x14ac:dyDescent="0.3">
      <c r="B149" s="43"/>
      <c r="C149" s="77">
        <v>2.75</v>
      </c>
      <c r="D149" s="78">
        <v>0</v>
      </c>
      <c r="E149" s="181">
        <v>0.1</v>
      </c>
      <c r="F149" s="181">
        <v>1.5</v>
      </c>
      <c r="G149" s="181">
        <v>2.6</v>
      </c>
      <c r="H149" s="181">
        <v>2.2000000000000002</v>
      </c>
      <c r="I149" s="181">
        <v>1.1000000000000001</v>
      </c>
      <c r="J149" s="181">
        <v>0.4</v>
      </c>
      <c r="K149" s="181">
        <v>0.1</v>
      </c>
      <c r="L149" s="181">
        <v>0.01</v>
      </c>
      <c r="M149" s="181">
        <v>0.01</v>
      </c>
      <c r="N149" s="181">
        <v>1E-3</v>
      </c>
      <c r="O149" s="78">
        <v>0</v>
      </c>
      <c r="P149" s="78">
        <v>0</v>
      </c>
      <c r="Q149" s="78">
        <v>0</v>
      </c>
      <c r="R149" s="78">
        <v>0</v>
      </c>
      <c r="S149" s="78">
        <v>0</v>
      </c>
      <c r="T149" s="73">
        <f t="shared" si="8"/>
        <v>8.020999999999999</v>
      </c>
    </row>
    <row r="150" spans="2:20" x14ac:dyDescent="0.3">
      <c r="B150" s="43"/>
      <c r="C150" s="77">
        <v>3.25</v>
      </c>
      <c r="D150" s="78">
        <v>0</v>
      </c>
      <c r="E150" s="78">
        <v>0</v>
      </c>
      <c r="F150" s="181">
        <v>0.6</v>
      </c>
      <c r="G150" s="181">
        <v>1.9</v>
      </c>
      <c r="H150" s="181">
        <v>1.7</v>
      </c>
      <c r="I150" s="181">
        <v>0.6</v>
      </c>
      <c r="J150" s="181">
        <v>0.2</v>
      </c>
      <c r="K150" s="181">
        <v>0.04</v>
      </c>
      <c r="L150" s="181">
        <v>0.01</v>
      </c>
      <c r="M150" s="181">
        <v>1E-3</v>
      </c>
      <c r="N150" s="78">
        <v>0</v>
      </c>
      <c r="O150" s="78">
        <v>0</v>
      </c>
      <c r="P150" s="78">
        <v>0</v>
      </c>
      <c r="Q150" s="78">
        <v>0</v>
      </c>
      <c r="R150" s="78">
        <v>0</v>
      </c>
      <c r="S150" s="78">
        <v>0</v>
      </c>
      <c r="T150" s="73">
        <f t="shared" si="8"/>
        <v>5.0510000000000002</v>
      </c>
    </row>
    <row r="151" spans="2:20" x14ac:dyDescent="0.3">
      <c r="B151" s="43"/>
      <c r="C151" s="77">
        <v>3.75</v>
      </c>
      <c r="D151" s="78">
        <v>0</v>
      </c>
      <c r="E151" s="78">
        <v>0</v>
      </c>
      <c r="F151" s="181">
        <v>0.1</v>
      </c>
      <c r="G151" s="181">
        <v>1.1000000000000001</v>
      </c>
      <c r="H151" s="181">
        <v>1.3</v>
      </c>
      <c r="I151" s="181">
        <v>0.3</v>
      </c>
      <c r="J151" s="181">
        <v>0.05</v>
      </c>
      <c r="K151" s="181">
        <v>0.03</v>
      </c>
      <c r="L151" s="181">
        <v>0.01</v>
      </c>
      <c r="M151" s="181">
        <v>0</v>
      </c>
      <c r="N151" s="78">
        <v>0</v>
      </c>
      <c r="O151" s="78">
        <v>0</v>
      </c>
      <c r="P151" s="78">
        <v>0</v>
      </c>
      <c r="Q151" s="78">
        <v>0</v>
      </c>
      <c r="R151" s="78">
        <v>0</v>
      </c>
      <c r="S151" s="78">
        <v>0</v>
      </c>
      <c r="T151" s="73">
        <f t="shared" si="8"/>
        <v>2.8899999999999992</v>
      </c>
    </row>
    <row r="152" spans="2:20" x14ac:dyDescent="0.3">
      <c r="B152" s="43"/>
      <c r="C152" s="77">
        <v>4.25</v>
      </c>
      <c r="D152" s="78">
        <v>0</v>
      </c>
      <c r="E152" s="78">
        <v>0</v>
      </c>
      <c r="F152" s="181">
        <v>0.02</v>
      </c>
      <c r="G152" s="181">
        <v>0.6</v>
      </c>
      <c r="H152" s="181">
        <v>0.8</v>
      </c>
      <c r="I152" s="181">
        <v>0.2</v>
      </c>
      <c r="J152" s="181">
        <v>0.02</v>
      </c>
      <c r="K152" s="181">
        <v>0.01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8">
        <v>0</v>
      </c>
      <c r="S152" s="78">
        <v>0</v>
      </c>
      <c r="T152" s="73">
        <f t="shared" si="8"/>
        <v>1.65</v>
      </c>
    </row>
    <row r="153" spans="2:20" x14ac:dyDescent="0.3">
      <c r="B153" s="43"/>
      <c r="C153" s="77">
        <v>4.75</v>
      </c>
      <c r="D153" s="78">
        <v>0</v>
      </c>
      <c r="E153" s="78">
        <v>0</v>
      </c>
      <c r="F153" s="181">
        <v>3.0000000000000001E-3</v>
      </c>
      <c r="G153" s="181">
        <v>0.2</v>
      </c>
      <c r="H153" s="181">
        <v>0.5</v>
      </c>
      <c r="I153" s="181">
        <v>0.1</v>
      </c>
      <c r="J153" s="181">
        <v>0.01</v>
      </c>
      <c r="K153" s="181">
        <v>0.01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8">
        <v>0</v>
      </c>
      <c r="S153" s="78">
        <v>0</v>
      </c>
      <c r="T153" s="73">
        <f t="shared" si="8"/>
        <v>0.82300000000000006</v>
      </c>
    </row>
    <row r="154" spans="2:20" x14ac:dyDescent="0.3">
      <c r="B154" s="43"/>
      <c r="C154" s="77">
        <v>5.25</v>
      </c>
      <c r="D154" s="78">
        <v>0</v>
      </c>
      <c r="E154" s="78">
        <v>0</v>
      </c>
      <c r="F154" s="78">
        <v>0</v>
      </c>
      <c r="G154" s="78">
        <v>0.04</v>
      </c>
      <c r="H154" s="181">
        <v>0.3</v>
      </c>
      <c r="I154" s="181">
        <v>0.1</v>
      </c>
      <c r="J154" s="181">
        <v>0.02</v>
      </c>
      <c r="K154" s="181">
        <v>3.0000000000000001E-3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8">
        <v>0</v>
      </c>
      <c r="S154" s="78">
        <v>0</v>
      </c>
      <c r="T154" s="73">
        <f t="shared" si="8"/>
        <v>0.46299999999999997</v>
      </c>
    </row>
    <row r="155" spans="2:20" x14ac:dyDescent="0.3">
      <c r="B155" s="43"/>
      <c r="C155" s="77">
        <v>5.75</v>
      </c>
      <c r="D155" s="78">
        <v>0</v>
      </c>
      <c r="E155" s="78">
        <v>0</v>
      </c>
      <c r="F155" s="78">
        <v>0</v>
      </c>
      <c r="G155" s="78">
        <v>6.0000000000000001E-3</v>
      </c>
      <c r="H155" s="78">
        <v>0.1</v>
      </c>
      <c r="I155" s="181">
        <v>0.04</v>
      </c>
      <c r="J155" s="181">
        <v>0.01</v>
      </c>
      <c r="K155" s="181">
        <v>1E-3</v>
      </c>
      <c r="L155" s="78">
        <v>0</v>
      </c>
      <c r="M155" s="78">
        <v>0</v>
      </c>
      <c r="N155" s="78">
        <v>0</v>
      </c>
      <c r="O155" s="78">
        <v>0</v>
      </c>
      <c r="P155" s="78">
        <v>0</v>
      </c>
      <c r="Q155" s="78">
        <v>0</v>
      </c>
      <c r="R155" s="78">
        <v>0</v>
      </c>
      <c r="S155" s="78">
        <v>0</v>
      </c>
      <c r="T155" s="73">
        <f t="shared" si="8"/>
        <v>0.15700000000000003</v>
      </c>
    </row>
    <row r="156" spans="2:20" x14ac:dyDescent="0.3">
      <c r="B156" s="43"/>
      <c r="C156" s="77">
        <v>6.25</v>
      </c>
      <c r="D156" s="78">
        <v>0</v>
      </c>
      <c r="E156" s="78">
        <v>0</v>
      </c>
      <c r="F156" s="78">
        <v>0</v>
      </c>
      <c r="G156" s="78">
        <v>1E-3</v>
      </c>
      <c r="H156" s="78">
        <v>0.03</v>
      </c>
      <c r="I156" s="78">
        <v>0.03</v>
      </c>
      <c r="J156" s="78">
        <v>0</v>
      </c>
      <c r="K156" s="78">
        <v>0</v>
      </c>
      <c r="L156" s="78">
        <v>0</v>
      </c>
      <c r="M156" s="78">
        <v>0</v>
      </c>
      <c r="N156" s="78">
        <v>0</v>
      </c>
      <c r="O156" s="78">
        <v>0</v>
      </c>
      <c r="P156" s="78">
        <v>0</v>
      </c>
      <c r="Q156" s="78">
        <v>0</v>
      </c>
      <c r="R156" s="78">
        <v>0</v>
      </c>
      <c r="S156" s="78">
        <v>0</v>
      </c>
      <c r="T156" s="73">
        <f t="shared" si="8"/>
        <v>6.0999999999999999E-2</v>
      </c>
    </row>
    <row r="157" spans="2:20" x14ac:dyDescent="0.3">
      <c r="B157" s="43"/>
      <c r="C157" s="77">
        <v>6.75</v>
      </c>
      <c r="D157" s="78">
        <v>0</v>
      </c>
      <c r="E157" s="78">
        <v>0</v>
      </c>
      <c r="F157" s="78">
        <v>0</v>
      </c>
      <c r="G157" s="78">
        <v>0</v>
      </c>
      <c r="H157" s="78">
        <v>0.02</v>
      </c>
      <c r="I157" s="78">
        <v>0.02</v>
      </c>
      <c r="J157" s="78">
        <v>1E-3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8">
        <v>0</v>
      </c>
      <c r="S157" s="78">
        <v>0</v>
      </c>
      <c r="T157" s="73">
        <f t="shared" si="8"/>
        <v>4.1000000000000002E-2</v>
      </c>
    </row>
    <row r="158" spans="2:20" x14ac:dyDescent="0.3">
      <c r="B158" s="43"/>
      <c r="C158" s="77">
        <v>7.25</v>
      </c>
      <c r="D158" s="78">
        <v>0</v>
      </c>
      <c r="E158" s="78">
        <v>0</v>
      </c>
      <c r="F158" s="78">
        <v>0</v>
      </c>
      <c r="G158" s="78">
        <v>0</v>
      </c>
      <c r="H158" s="78">
        <v>3.0000000000000001E-3</v>
      </c>
      <c r="I158" s="78">
        <v>3.0000000000000001E-3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78">
        <v>0</v>
      </c>
      <c r="R158" s="78">
        <v>0</v>
      </c>
      <c r="S158" s="78">
        <v>0</v>
      </c>
      <c r="T158" s="73">
        <f t="shared" si="8"/>
        <v>6.0000000000000001E-3</v>
      </c>
    </row>
    <row r="159" spans="2:20" x14ac:dyDescent="0.3">
      <c r="B159" s="43"/>
      <c r="C159" s="77">
        <v>7.75</v>
      </c>
      <c r="D159" s="78">
        <v>0</v>
      </c>
      <c r="E159" s="78">
        <v>0</v>
      </c>
      <c r="F159" s="78">
        <v>0</v>
      </c>
      <c r="G159" s="78">
        <v>0</v>
      </c>
      <c r="H159" s="78">
        <v>0</v>
      </c>
      <c r="I159" s="78">
        <v>4.0000000000000001E-3</v>
      </c>
      <c r="J159" s="78">
        <v>1E-3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78">
        <v>0</v>
      </c>
      <c r="R159" s="78">
        <v>0</v>
      </c>
      <c r="S159" s="78">
        <v>0</v>
      </c>
      <c r="T159" s="73">
        <f t="shared" si="8"/>
        <v>5.0000000000000001E-3</v>
      </c>
    </row>
    <row r="160" spans="2:20" x14ac:dyDescent="0.3">
      <c r="B160" s="43"/>
      <c r="C160" s="77">
        <v>8.25</v>
      </c>
      <c r="D160" s="78">
        <v>0</v>
      </c>
      <c r="E160" s="78">
        <v>0</v>
      </c>
      <c r="F160" s="78">
        <v>0</v>
      </c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8">
        <v>0</v>
      </c>
      <c r="S160" s="78">
        <v>0</v>
      </c>
      <c r="T160" s="73">
        <f t="shared" si="8"/>
        <v>0</v>
      </c>
    </row>
    <row r="161" spans="2:67" x14ac:dyDescent="0.3">
      <c r="B161" s="43"/>
      <c r="C161" s="77">
        <v>8.75</v>
      </c>
      <c r="D161" s="78">
        <v>0</v>
      </c>
      <c r="E161" s="78">
        <v>0</v>
      </c>
      <c r="F161" s="78">
        <v>0</v>
      </c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8">
        <v>0</v>
      </c>
      <c r="S161" s="78">
        <v>0</v>
      </c>
      <c r="T161" s="73">
        <f t="shared" si="8"/>
        <v>0</v>
      </c>
    </row>
    <row r="162" spans="2:67" x14ac:dyDescent="0.3">
      <c r="B162" s="43"/>
      <c r="C162" s="77">
        <v>9.25</v>
      </c>
      <c r="D162" s="78">
        <v>0</v>
      </c>
      <c r="E162" s="78">
        <v>0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8">
        <v>0</v>
      </c>
      <c r="S162" s="78">
        <v>0</v>
      </c>
      <c r="T162" s="73">
        <f t="shared" si="8"/>
        <v>0</v>
      </c>
    </row>
    <row r="163" spans="2:67" x14ac:dyDescent="0.3">
      <c r="B163" s="43"/>
      <c r="C163" s="77">
        <v>9.75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8">
        <v>0</v>
      </c>
      <c r="L163" s="78">
        <v>0</v>
      </c>
      <c r="M163" s="78">
        <v>0</v>
      </c>
      <c r="N163" s="78">
        <v>0</v>
      </c>
      <c r="O163" s="78">
        <v>0</v>
      </c>
      <c r="P163" s="78">
        <v>0</v>
      </c>
      <c r="Q163" s="78">
        <v>0</v>
      </c>
      <c r="R163" s="78">
        <v>0</v>
      </c>
      <c r="S163" s="78">
        <v>0</v>
      </c>
      <c r="T163" s="73">
        <f t="shared" si="8"/>
        <v>0</v>
      </c>
    </row>
    <row r="164" spans="2:67" x14ac:dyDescent="0.3">
      <c r="B164" s="43"/>
      <c r="C164" s="77"/>
      <c r="D164" s="80">
        <f>SUM(D144:D163)</f>
        <v>3.206</v>
      </c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73">
        <f>SUM(D144:S163)</f>
        <v>100.31900000000005</v>
      </c>
    </row>
    <row r="166" spans="2:67" x14ac:dyDescent="0.3">
      <c r="BO166" s="4"/>
    </row>
    <row r="167" spans="2:67" x14ac:dyDescent="0.3">
      <c r="BO167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Readme</vt:lpstr>
      <vt:lpstr>IO</vt:lpstr>
      <vt:lpstr>MC_Simu</vt:lpstr>
      <vt:lpstr>Cost Funs</vt:lpstr>
      <vt:lpstr>Compute Performance</vt:lpstr>
      <vt:lpstr>Performance Matrices</vt:lpstr>
      <vt:lpstr>Scatter Diagrams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Mirko</dc:creator>
  <cp:lastModifiedBy>Mirko Previsic</cp:lastModifiedBy>
  <dcterms:created xsi:type="dcterms:W3CDTF">2023-03-03T21:17:06Z</dcterms:created>
  <dcterms:modified xsi:type="dcterms:W3CDTF">2025-06-10T18:45:55Z</dcterms:modified>
</cp:coreProperties>
</file>